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5336" windowHeight="8580"/>
  </bookViews>
  <sheets>
    <sheet name="sore" sheetId="1" r:id="rId1"/>
  </sheets>
  <definedNames>
    <definedName name="_xlnm.Print_Area" localSheetId="0">sore!$A$1:$AA$59</definedName>
    <definedName name="_xlnm.Print_Titles" localSheetId="0">sore!$A:$C,sore!$1:$3</definedName>
  </definedNames>
  <calcPr calcId="125725" fullCalcOnLoad="1"/>
</workbook>
</file>

<file path=xl/calcChain.xml><?xml version="1.0" encoding="utf-8"?>
<calcChain xmlns="http://schemas.openxmlformats.org/spreadsheetml/2006/main">
  <c r="AB29" i="1"/>
  <c r="AA29"/>
  <c r="AB16"/>
  <c r="AB44"/>
  <c r="AB50"/>
  <c r="AA50"/>
  <c r="AA44"/>
  <c r="AA16"/>
  <c r="Z50"/>
  <c r="Z44"/>
  <c r="Z29"/>
  <c r="Z16"/>
  <c r="X29"/>
  <c r="X31"/>
  <c r="X54"/>
  <c r="X59"/>
  <c r="Y50"/>
  <c r="Y44"/>
  <c r="Y29"/>
  <c r="Y16"/>
  <c r="X50"/>
  <c r="X44"/>
  <c r="X16"/>
  <c r="V50"/>
  <c r="W29"/>
  <c r="W14"/>
  <c r="W16"/>
  <c r="W31"/>
  <c r="W44"/>
  <c r="W52"/>
  <c r="W50"/>
  <c r="V56"/>
  <c r="V16"/>
  <c r="U12"/>
  <c r="U15"/>
  <c r="T12"/>
  <c r="T15"/>
  <c r="S12"/>
  <c r="S15"/>
  <c r="R12"/>
  <c r="R15"/>
  <c r="Q12"/>
  <c r="Q15"/>
  <c r="P12"/>
  <c r="P15"/>
  <c r="P16"/>
  <c r="O12"/>
  <c r="O15"/>
  <c r="N12"/>
  <c r="N15"/>
  <c r="N16"/>
  <c r="M12"/>
  <c r="M15"/>
  <c r="L12"/>
  <c r="L15"/>
  <c r="L16"/>
  <c r="K12"/>
  <c r="K15"/>
  <c r="K16"/>
  <c r="J12"/>
  <c r="J15"/>
  <c r="I12"/>
  <c r="I15"/>
  <c r="H12"/>
  <c r="H15"/>
  <c r="G12"/>
  <c r="G15"/>
  <c r="F12"/>
  <c r="F15"/>
  <c r="F16"/>
  <c r="E12"/>
  <c r="E16"/>
  <c r="E15"/>
  <c r="D12"/>
  <c r="D15"/>
  <c r="D16"/>
  <c r="V29"/>
  <c r="V31"/>
  <c r="U28"/>
  <c r="U29"/>
  <c r="U31"/>
  <c r="T28"/>
  <c r="T29"/>
  <c r="T31"/>
  <c r="T54"/>
  <c r="T59"/>
  <c r="S28"/>
  <c r="S29"/>
  <c r="S31"/>
  <c r="S54"/>
  <c r="S59"/>
  <c r="R28"/>
  <c r="R29"/>
  <c r="R31"/>
  <c r="Q28"/>
  <c r="Q29"/>
  <c r="Q31"/>
  <c r="Q54"/>
  <c r="Q59"/>
  <c r="P28"/>
  <c r="P29"/>
  <c r="P31"/>
  <c r="O28"/>
  <c r="O29"/>
  <c r="N28"/>
  <c r="N29"/>
  <c r="M28"/>
  <c r="M29"/>
  <c r="M31"/>
  <c r="L28"/>
  <c r="L29"/>
  <c r="L31"/>
  <c r="K28"/>
  <c r="K29"/>
  <c r="J28"/>
  <c r="J29"/>
  <c r="J31"/>
  <c r="I28"/>
  <c r="I29"/>
  <c r="I31"/>
  <c r="H28"/>
  <c r="H29"/>
  <c r="H31"/>
  <c r="G28"/>
  <c r="G29"/>
  <c r="G31"/>
  <c r="F28"/>
  <c r="F29"/>
  <c r="F31"/>
  <c r="E28"/>
  <c r="E29"/>
  <c r="D28"/>
  <c r="D29"/>
  <c r="D31"/>
  <c r="V23"/>
  <c r="V24"/>
  <c r="V14"/>
  <c r="V44"/>
  <c r="V52"/>
  <c r="U44"/>
  <c r="U50"/>
  <c r="U52"/>
  <c r="T44"/>
  <c r="T50"/>
  <c r="T52"/>
  <c r="S44"/>
  <c r="S52"/>
  <c r="S50"/>
  <c r="R44"/>
  <c r="R52"/>
  <c r="R50"/>
  <c r="P44"/>
  <c r="P50"/>
  <c r="P52"/>
  <c r="Q44"/>
  <c r="Q50"/>
  <c r="Q52"/>
  <c r="O44"/>
  <c r="O52"/>
  <c r="O50"/>
  <c r="N44"/>
  <c r="N52"/>
  <c r="N50"/>
  <c r="M47"/>
  <c r="M43"/>
  <c r="M42"/>
  <c r="M44"/>
  <c r="M52"/>
  <c r="M41"/>
  <c r="M39"/>
  <c r="L48"/>
  <c r="L47"/>
  <c r="L50"/>
  <c r="L43"/>
  <c r="L42"/>
  <c r="L41"/>
  <c r="L44"/>
  <c r="L52"/>
  <c r="L39"/>
  <c r="K48"/>
  <c r="K47"/>
  <c r="K43"/>
  <c r="K42"/>
  <c r="K41"/>
  <c r="K39"/>
  <c r="J41"/>
  <c r="J44"/>
  <c r="J42"/>
  <c r="J43"/>
  <c r="J47"/>
  <c r="J50"/>
  <c r="J48"/>
  <c r="I49"/>
  <c r="I41"/>
  <c r="I42"/>
  <c r="I43"/>
  <c r="I44"/>
  <c r="I47"/>
  <c r="I50"/>
  <c r="I48"/>
  <c r="H49"/>
  <c r="H50"/>
  <c r="H41"/>
  <c r="H43"/>
  <c r="H44"/>
  <c r="H52"/>
  <c r="H48"/>
  <c r="G48"/>
  <c r="G50"/>
  <c r="G52"/>
  <c r="G41"/>
  <c r="G44"/>
  <c r="F35"/>
  <c r="F36"/>
  <c r="F38"/>
  <c r="F39"/>
  <c r="F44"/>
  <c r="F52"/>
  <c r="F47"/>
  <c r="F48"/>
  <c r="F50"/>
  <c r="E47"/>
  <c r="E35"/>
  <c r="E36"/>
  <c r="E44"/>
  <c r="E52"/>
  <c r="E38"/>
  <c r="E39"/>
  <c r="E43"/>
  <c r="E48"/>
  <c r="E50"/>
  <c r="M59"/>
  <c r="L59"/>
  <c r="K59"/>
  <c r="J59"/>
  <c r="I59"/>
  <c r="H59"/>
  <c r="G59"/>
  <c r="F59"/>
  <c r="E59"/>
  <c r="D59"/>
  <c r="M50"/>
  <c r="K44"/>
  <c r="K52"/>
  <c r="K50"/>
  <c r="D35"/>
  <c r="D38"/>
  <c r="D39"/>
  <c r="D41"/>
  <c r="D43"/>
  <c r="D44"/>
  <c r="D47"/>
  <c r="D50"/>
  <c r="D48"/>
  <c r="X52"/>
  <c r="I16"/>
  <c r="M16"/>
  <c r="Q16"/>
  <c r="U16"/>
  <c r="Y31"/>
  <c r="Y54"/>
  <c r="Y59"/>
  <c r="Y52"/>
  <c r="G16"/>
  <c r="H16"/>
  <c r="J16"/>
  <c r="R16"/>
  <c r="S16"/>
  <c r="T16"/>
  <c r="O16"/>
  <c r="O31"/>
  <c r="V54"/>
  <c r="V59"/>
  <c r="D52"/>
  <c r="I52"/>
  <c r="K31"/>
  <c r="N31"/>
  <c r="N54"/>
  <c r="N59"/>
  <c r="U54"/>
  <c r="U59"/>
  <c r="J52"/>
  <c r="R54"/>
  <c r="R59"/>
  <c r="O54"/>
  <c r="O59"/>
  <c r="E31"/>
  <c r="P54"/>
  <c r="P59"/>
  <c r="W54"/>
  <c r="W59"/>
  <c r="AA52"/>
  <c r="AA31"/>
  <c r="AA54"/>
  <c r="AA59"/>
  <c r="Z52"/>
  <c r="Z31"/>
  <c r="Z54"/>
  <c r="Z59"/>
  <c r="AB31"/>
  <c r="AB52"/>
  <c r="AB54"/>
  <c r="AB59"/>
</calcChain>
</file>

<file path=xl/sharedStrings.xml><?xml version="1.0" encoding="utf-8"?>
<sst xmlns="http://schemas.openxmlformats.org/spreadsheetml/2006/main" count="76" uniqueCount="76">
  <si>
    <t>Massachusetts Bay Transportation Authority</t>
  </si>
  <si>
    <t>Statement of Revenue and Expenses</t>
  </si>
  <si>
    <t>FY1996</t>
  </si>
  <si>
    <t>FY1997</t>
  </si>
  <si>
    <t>FY1998</t>
  </si>
  <si>
    <t>FY1999</t>
  </si>
  <si>
    <t>FY2000</t>
  </si>
  <si>
    <t>Operating Revenues</t>
  </si>
  <si>
    <t>Rapid transit revenue</t>
  </si>
  <si>
    <t>Commuter rail transit revenue</t>
  </si>
  <si>
    <t>Surface transit revenue</t>
  </si>
  <si>
    <t>School, senior and paratransit revenue</t>
  </si>
  <si>
    <t>Advertising and concession revenue</t>
  </si>
  <si>
    <t>Revenue from real estate operations</t>
  </si>
  <si>
    <t>Interest Income</t>
  </si>
  <si>
    <t>Non-Operating Income</t>
  </si>
  <si>
    <t>Funds from Federal Government</t>
  </si>
  <si>
    <t>Utility Reimbursements</t>
  </si>
  <si>
    <t>Revenue from Dedicated Sources</t>
  </si>
  <si>
    <t>Total Revenues:</t>
  </si>
  <si>
    <t>EXPENSES</t>
  </si>
  <si>
    <t>Operating Expenses</t>
  </si>
  <si>
    <t>Wages</t>
  </si>
  <si>
    <t>Materials, Supplies and Services</t>
  </si>
  <si>
    <t>Casualty &amp; Liability</t>
  </si>
  <si>
    <t>Purchased Commuter Rail Expenses</t>
  </si>
  <si>
    <t>Purchased  Local Service Expenses</t>
  </si>
  <si>
    <t>Financial Service Charges</t>
  </si>
  <si>
    <t>Total Operating Expenses:</t>
  </si>
  <si>
    <t>Debt Service Expenses</t>
  </si>
  <si>
    <t xml:space="preserve">Interest </t>
  </si>
  <si>
    <t>Principal Payments</t>
  </si>
  <si>
    <t>Lease Payments</t>
  </si>
  <si>
    <t>Total Debt Service Expenses:</t>
  </si>
  <si>
    <t>Total Expenses:</t>
  </si>
  <si>
    <t>FY2001</t>
  </si>
  <si>
    <t>Net Surplus/(Deficit)</t>
  </si>
  <si>
    <t>FY1991</t>
  </si>
  <si>
    <t>FY1992</t>
  </si>
  <si>
    <t>FY1993</t>
  </si>
  <si>
    <t>FY1994</t>
  </si>
  <si>
    <t>FY1995</t>
  </si>
  <si>
    <t>Capital Maintenance Fund</t>
  </si>
  <si>
    <t>Deficiency Fund</t>
  </si>
  <si>
    <t>FY2003</t>
  </si>
  <si>
    <t xml:space="preserve">FY2002 </t>
  </si>
  <si>
    <t>Payroll Taxes</t>
  </si>
  <si>
    <t>REVENUE</t>
  </si>
  <si>
    <t>Fringe Benefits</t>
  </si>
  <si>
    <t>Total Operating Revenues:</t>
  </si>
  <si>
    <t>Non-Operating Revenues</t>
  </si>
  <si>
    <t>Total Non-Operating Revenues:</t>
  </si>
  <si>
    <t>FY2004</t>
  </si>
  <si>
    <t>FY2005</t>
  </si>
  <si>
    <t>FY2006</t>
  </si>
  <si>
    <t>FY2007</t>
  </si>
  <si>
    <t>Surplus/(Deficit)</t>
  </si>
  <si>
    <t>Forward</t>
  </si>
  <si>
    <t>Funding</t>
  </si>
  <si>
    <t>FY2008</t>
  </si>
  <si>
    <t>Revenue from Transportation</t>
  </si>
  <si>
    <t>Other Operating Revenue</t>
  </si>
  <si>
    <t>Dedicated Local Assessment Revenue</t>
  </si>
  <si>
    <t>Dedicated Sales Tax Revenue</t>
  </si>
  <si>
    <t>Other Income</t>
  </si>
  <si>
    <t>FY2009</t>
  </si>
  <si>
    <t>Contract Assistance</t>
  </si>
  <si>
    <t xml:space="preserve">FY2010 </t>
  </si>
  <si>
    <t>FY2011</t>
  </si>
  <si>
    <t>FY2012</t>
  </si>
  <si>
    <t>FY2013</t>
  </si>
  <si>
    <t>FY2014 Budget</t>
  </si>
  <si>
    <t>FY 1991  to FY 2014 Budget</t>
  </si>
  <si>
    <t>FY2015 Budget</t>
  </si>
  <si>
    <t>Additional Assistance</t>
  </si>
  <si>
    <t>Health &amp; Welfare Fund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</si>
</sst>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2"/>
      <name val="Arial MT"/>
    </font>
    <font>
      <sz val="10"/>
      <name val="Arial"/>
    </font>
    <font>
      <b/>
      <sz val="14"/>
      <name val="Arial"/>
      <family val="2"/>
    </font>
    <font>
      <b/>
      <sz val="13"/>
      <name val="Arial"/>
      <family val="2"/>
    </font>
    <font>
      <sz val="20"/>
      <name val="Arial"/>
      <family val="2"/>
    </font>
    <font>
      <sz val="24"/>
      <name val="Arial"/>
      <family val="2"/>
    </font>
    <font>
      <b/>
      <u/>
      <sz val="2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13"/>
      <color indexed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3"/>
      <name val="Arial"/>
      <family val="2"/>
    </font>
    <font>
      <b/>
      <i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37" fontId="5" fillId="0" borderId="0" xfId="0" applyNumberFormat="1" applyFont="1"/>
    <xf numFmtId="37" fontId="6" fillId="0" borderId="0" xfId="0" applyNumberFormat="1" applyFont="1" applyProtection="1"/>
    <xf numFmtId="37" fontId="5" fillId="0" borderId="0" xfId="0" applyNumberFormat="1" applyFont="1" applyProtection="1"/>
    <xf numFmtId="37" fontId="5" fillId="0" borderId="0" xfId="0" applyNumberFormat="1" applyFont="1" applyAlignment="1" applyProtection="1">
      <alignment horizontal="center"/>
    </xf>
    <xf numFmtId="37" fontId="7" fillId="0" borderId="0" xfId="0" applyNumberFormat="1" applyFont="1" applyProtection="1"/>
    <xf numFmtId="37" fontId="7" fillId="0" borderId="0" xfId="0" applyNumberFormat="1" applyFont="1" applyAlignment="1" applyProtection="1">
      <alignment horizontal="center"/>
    </xf>
    <xf numFmtId="37" fontId="8" fillId="0" borderId="0" xfId="0" applyNumberFormat="1" applyFont="1" applyProtection="1"/>
    <xf numFmtId="37" fontId="9" fillId="0" borderId="0" xfId="0" applyNumberFormat="1" applyFont="1"/>
    <xf numFmtId="37" fontId="11" fillId="0" borderId="0" xfId="0" applyNumberFormat="1" applyFont="1"/>
    <xf numFmtId="37" fontId="10" fillId="0" borderId="0" xfId="0" applyNumberFormat="1" applyFont="1" applyBorder="1" applyProtection="1"/>
    <xf numFmtId="37" fontId="9" fillId="0" borderId="0" xfId="0" applyNumberFormat="1" applyFont="1" applyAlignment="1">
      <alignment textRotation="90"/>
    </xf>
    <xf numFmtId="37" fontId="10" fillId="0" borderId="0" xfId="0" applyNumberFormat="1" applyFont="1" applyBorder="1" applyAlignment="1" applyProtection="1">
      <alignment horizontal="center"/>
    </xf>
    <xf numFmtId="37" fontId="4" fillId="0" borderId="0" xfId="0" applyNumberFormat="1" applyFont="1" applyAlignment="1"/>
    <xf numFmtId="37" fontId="2" fillId="0" borderId="0" xfId="0" applyNumberFormat="1" applyFont="1" applyAlignment="1" applyProtection="1"/>
    <xf numFmtId="37" fontId="3" fillId="0" borderId="0" xfId="0" applyNumberFormat="1" applyFont="1" applyAlignment="1">
      <alignment textRotation="90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</xf>
    <xf numFmtId="37" fontId="3" fillId="0" borderId="0" xfId="0" applyNumberFormat="1" applyFont="1" applyFill="1" applyAlignment="1">
      <alignment horizontal="center"/>
    </xf>
    <xf numFmtId="37" fontId="12" fillId="0" borderId="0" xfId="0" applyNumberFormat="1" applyFont="1"/>
    <xf numFmtId="37" fontId="13" fillId="0" borderId="0" xfId="0" applyNumberFormat="1" applyFont="1" applyBorder="1" applyProtection="1"/>
    <xf numFmtId="37" fontId="13" fillId="0" borderId="0" xfId="0" applyNumberFormat="1" applyFont="1" applyBorder="1" applyAlignment="1" applyProtection="1">
      <alignment horizontal="center"/>
    </xf>
    <xf numFmtId="37" fontId="13" fillId="0" borderId="0" xfId="0" applyNumberFormat="1" applyFont="1" applyFill="1" applyBorder="1" applyAlignment="1" applyProtection="1">
      <alignment horizontal="center"/>
    </xf>
    <xf numFmtId="37" fontId="12" fillId="0" borderId="0" xfId="0" applyNumberFormat="1" applyFont="1" applyBorder="1" applyProtection="1"/>
    <xf numFmtId="37" fontId="12" fillId="0" borderId="1" xfId="0" applyNumberFormat="1" applyFont="1" applyBorder="1"/>
    <xf numFmtId="37" fontId="3" fillId="0" borderId="2" xfId="0" applyNumberFormat="1" applyFont="1" applyBorder="1" applyProtection="1"/>
    <xf numFmtId="37" fontId="3" fillId="0" borderId="0" xfId="0" applyNumberFormat="1" applyFont="1"/>
    <xf numFmtId="37" fontId="13" fillId="0" borderId="0" xfId="0" applyNumberFormat="1" applyFont="1"/>
    <xf numFmtId="37" fontId="12" fillId="0" borderId="0" xfId="0" applyNumberFormat="1" applyFont="1" applyProtection="1"/>
    <xf numFmtId="37" fontId="3" fillId="0" borderId="0" xfId="0" applyNumberFormat="1" applyFont="1" applyProtection="1"/>
    <xf numFmtId="37" fontId="12" fillId="0" borderId="0" xfId="0" applyNumberFormat="1" applyFont="1" applyBorder="1"/>
    <xf numFmtId="37" fontId="3" fillId="0" borderId="3" xfId="0" applyNumberFormat="1" applyFont="1" applyBorder="1" applyProtection="1"/>
    <xf numFmtId="37" fontId="12" fillId="0" borderId="3" xfId="0" applyNumberFormat="1" applyFont="1" applyBorder="1"/>
    <xf numFmtId="37" fontId="14" fillId="0" borderId="0" xfId="0" applyNumberFormat="1" applyFont="1" applyBorder="1" applyProtection="1"/>
    <xf numFmtId="37" fontId="3" fillId="2" borderId="0" xfId="0" applyNumberFormat="1" applyFont="1" applyFill="1" applyBorder="1" applyAlignment="1" applyProtection="1">
      <alignment horizontal="center"/>
    </xf>
    <xf numFmtId="37" fontId="11" fillId="0" borderId="0" xfId="0" applyNumberFormat="1" applyFont="1" applyBorder="1" applyProtection="1"/>
    <xf numFmtId="37" fontId="11" fillId="0" borderId="0" xfId="0" applyNumberFormat="1" applyFont="1" applyBorder="1"/>
    <xf numFmtId="37" fontId="16" fillId="0" borderId="0" xfId="0" applyNumberFormat="1" applyFont="1" applyBorder="1" applyProtection="1"/>
    <xf numFmtId="37" fontId="16" fillId="0" borderId="0" xfId="0" applyNumberFormat="1" applyFont="1"/>
    <xf numFmtId="37" fontId="17" fillId="0" borderId="0" xfId="0" applyNumberFormat="1" applyFont="1"/>
    <xf numFmtId="37" fontId="16" fillId="0" borderId="0" xfId="0" applyNumberFormat="1" applyFont="1" applyBorder="1"/>
    <xf numFmtId="37" fontId="15" fillId="0" borderId="0" xfId="0" applyNumberFormat="1" applyFont="1" applyBorder="1" applyProtection="1"/>
    <xf numFmtId="37" fontId="18" fillId="0" borderId="0" xfId="0" applyNumberFormat="1" applyFont="1" applyBorder="1" applyProtection="1"/>
    <xf numFmtId="37" fontId="16" fillId="0" borderId="1" xfId="0" applyNumberFormat="1" applyFont="1" applyBorder="1" applyProtection="1"/>
    <xf numFmtId="37" fontId="16" fillId="0" borderId="1" xfId="0" applyNumberFormat="1" applyFont="1" applyBorder="1"/>
    <xf numFmtId="37" fontId="15" fillId="0" borderId="2" xfId="0" applyNumberFormat="1" applyFont="1" applyBorder="1" applyProtection="1"/>
    <xf numFmtId="37" fontId="11" fillId="0" borderId="0" xfId="0" applyNumberFormat="1" applyFont="1" applyFill="1" applyBorder="1"/>
    <xf numFmtId="37" fontId="11" fillId="0" borderId="0" xfId="1" applyNumberFormat="1" applyFont="1" applyFill="1" applyBorder="1"/>
    <xf numFmtId="37" fontId="11" fillId="0" borderId="1" xfId="1" applyNumberFormat="1" applyFont="1" applyFill="1" applyBorder="1"/>
    <xf numFmtId="38" fontId="19" fillId="0" borderId="0" xfId="0" applyNumberFormat="1" applyFont="1"/>
    <xf numFmtId="37" fontId="5" fillId="0" borderId="0" xfId="0" applyNumberFormat="1" applyFont="1" applyAlignment="1">
      <alignment wrapText="1"/>
    </xf>
    <xf numFmtId="37" fontId="11" fillId="0" borderId="0" xfId="0" applyNumberFormat="1" applyFont="1" applyAlignment="1">
      <alignment wrapText="1"/>
    </xf>
    <xf numFmtId="37" fontId="3" fillId="0" borderId="0" xfId="0" applyNumberFormat="1" applyFont="1" applyFill="1" applyAlignment="1">
      <alignment horizontal="center" wrapText="1"/>
    </xf>
    <xf numFmtId="37" fontId="13" fillId="0" borderId="0" xfId="0" applyNumberFormat="1" applyFont="1" applyFill="1" applyBorder="1" applyAlignment="1" applyProtection="1">
      <alignment horizontal="center" wrapText="1"/>
    </xf>
    <xf numFmtId="37" fontId="12" fillId="0" borderId="0" xfId="0" applyNumberFormat="1" applyFont="1" applyAlignment="1">
      <alignment wrapText="1"/>
    </xf>
    <xf numFmtId="37" fontId="16" fillId="0" borderId="0" xfId="0" applyNumberFormat="1" applyFont="1" applyAlignment="1">
      <alignment wrapText="1"/>
    </xf>
    <xf numFmtId="37" fontId="11" fillId="0" borderId="0" xfId="0" applyNumberFormat="1" applyFont="1" applyBorder="1" applyAlignment="1" applyProtection="1">
      <alignment wrapText="1"/>
    </xf>
    <xf numFmtId="37" fontId="16" fillId="0" borderId="0" xfId="0" applyNumberFormat="1" applyFont="1" applyBorder="1" applyAlignment="1" applyProtection="1">
      <alignment wrapText="1"/>
    </xf>
    <xf numFmtId="37" fontId="3" fillId="0" borderId="2" xfId="0" applyNumberFormat="1" applyFont="1" applyBorder="1" applyAlignment="1" applyProtection="1">
      <alignment wrapText="1"/>
    </xf>
    <xf numFmtId="37" fontId="11" fillId="0" borderId="0" xfId="0" applyNumberFormat="1" applyFont="1" applyBorder="1" applyAlignment="1">
      <alignment wrapText="1"/>
    </xf>
    <xf numFmtId="38" fontId="19" fillId="0" borderId="0" xfId="0" applyNumberFormat="1" applyFont="1" applyAlignment="1">
      <alignment wrapText="1"/>
    </xf>
    <xf numFmtId="37" fontId="16" fillId="0" borderId="1" xfId="0" applyNumberFormat="1" applyFont="1" applyBorder="1" applyAlignment="1">
      <alignment wrapText="1"/>
    </xf>
    <xf numFmtId="37" fontId="15" fillId="0" borderId="2" xfId="0" applyNumberFormat="1" applyFont="1" applyBorder="1" applyAlignment="1" applyProtection="1">
      <alignment wrapText="1"/>
    </xf>
    <xf numFmtId="37" fontId="12" fillId="0" borderId="1" xfId="0" applyNumberFormat="1" applyFont="1" applyBorder="1" applyAlignment="1">
      <alignment wrapText="1"/>
    </xf>
    <xf numFmtId="37" fontId="3" fillId="0" borderId="0" xfId="0" applyNumberFormat="1" applyFont="1" applyBorder="1" applyAlignment="1" applyProtection="1">
      <alignment wrapText="1"/>
    </xf>
    <xf numFmtId="37" fontId="3" fillId="0" borderId="3" xfId="0" applyNumberFormat="1" applyFont="1" applyBorder="1" applyAlignment="1" applyProtection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3</xdr:col>
      <xdr:colOff>0</xdr:colOff>
      <xdr:row>3</xdr:row>
      <xdr:rowOff>9525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219075" y="1162050"/>
          <a:ext cx="3810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0" i="0" strike="noStrike">
              <a:solidFill>
                <a:srgbClr val="000000"/>
              </a:solidFill>
              <a:latin typeface="Arial MT"/>
            </a:rPr>
            <a:t>PRIOR TO STEPS</a:t>
          </a:r>
        </a:p>
        <a:p>
          <a:pPr algn="l" rtl="0">
            <a:defRPr sz="1000"/>
          </a:pPr>
          <a:endParaRPr lang="en-US" sz="1800" b="0" i="0" strike="noStrike">
            <a:solidFill>
              <a:srgbClr val="000000"/>
            </a:solidFill>
            <a:latin typeface="Arial MT"/>
          </a:endParaRPr>
        </a:p>
        <a:p>
          <a:pPr algn="l" rtl="0">
            <a:defRPr sz="1000"/>
          </a:pPr>
          <a:endParaRPr lang="en-US" sz="1800" b="0" i="0" strike="noStrike">
            <a:solidFill>
              <a:srgbClr val="000000"/>
            </a:solidFill>
            <a:latin typeface="Arial MT"/>
          </a:endParaRPr>
        </a:p>
        <a:p>
          <a:pPr algn="l" rtl="0">
            <a:defRPr sz="1000"/>
          </a:pPr>
          <a:endParaRPr lang="en-US" sz="1800" b="0" i="0" strike="noStrike">
            <a:solidFill>
              <a:srgbClr val="000000"/>
            </a:solidFill>
            <a:latin typeface="Arial MT"/>
          </a:endParaRPr>
        </a:p>
        <a:p>
          <a:pPr algn="l" rtl="0">
            <a:defRPr sz="1000"/>
          </a:pPr>
          <a:r>
            <a:rPr lang="en-US" sz="1800" b="0" i="0" strike="noStrike">
              <a:solidFill>
                <a:srgbClr val="000000"/>
              </a:solidFill>
              <a:latin typeface="Arial MT"/>
            </a:rPr>
            <a:t>DRAFT</a:t>
          </a:r>
        </a:p>
        <a:p>
          <a:pPr algn="l" rtl="0">
            <a:defRPr sz="1000"/>
          </a:pPr>
          <a:endParaRPr lang="en-US" sz="1800" b="0" i="0" strike="noStrike">
            <a:solidFill>
              <a:srgbClr val="000000"/>
            </a:solidFill>
            <a:latin typeface="Arial MT"/>
          </a:endParaRPr>
        </a:p>
        <a:p>
          <a:pPr algn="l" rtl="0">
            <a:defRPr sz="1000"/>
          </a:pPr>
          <a:endParaRPr lang="en-US" sz="1800" b="0" i="0" strike="noStrike">
            <a:solidFill>
              <a:srgbClr val="000000"/>
            </a:solidFill>
            <a:latin typeface="Arial MT"/>
          </a:endParaRPr>
        </a:p>
        <a:p>
          <a:pPr algn="l" rtl="0">
            <a:defRPr sz="1000"/>
          </a:pPr>
          <a:endParaRPr lang="en-US" sz="1800" b="0" i="0" strike="noStrike">
            <a:solidFill>
              <a:srgbClr val="000000"/>
            </a:solidFill>
            <a:latin typeface="Arial MT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5"/>
  <sheetViews>
    <sheetView showGridLines="0" tabSelected="1" zoomScale="75" zoomScaleNormal="75" workbookViewId="0">
      <pane xSplit="3" topLeftCell="S1" activePane="topRight" state="frozen"/>
      <selection pane="topRight" activeCell="AC12" sqref="AC12"/>
    </sheetView>
  </sheetViews>
  <sheetFormatPr defaultColWidth="8.90625" defaultRowHeight="20.399999999999999"/>
  <cols>
    <col min="1" max="1" width="2.54296875" style="9" customWidth="1"/>
    <col min="2" max="2" width="2.81640625" style="9" customWidth="1"/>
    <col min="3" max="3" width="33.6328125" style="9" customWidth="1"/>
    <col min="4" max="12" width="15.81640625" style="9" customWidth="1"/>
    <col min="13" max="13" width="15.36328125" style="9" customWidth="1"/>
    <col min="14" max="15" width="15.81640625" style="9" customWidth="1"/>
    <col min="16" max="16" width="15.81640625" style="8" customWidth="1"/>
    <col min="17" max="21" width="13.90625" style="8" bestFit="1" customWidth="1"/>
    <col min="22" max="26" width="13.90625" style="9" bestFit="1" customWidth="1"/>
    <col min="27" max="27" width="15.81640625" style="51" customWidth="1"/>
    <col min="28" max="28" width="15.81640625" style="51" hidden="1" customWidth="1"/>
    <col min="29" max="16384" width="8.90625" style="9"/>
  </cols>
  <sheetData>
    <row r="1" spans="1:29" s="1" customFormat="1" ht="30">
      <c r="A1" s="14" t="s">
        <v>0</v>
      </c>
      <c r="B1" s="13"/>
      <c r="AA1" s="50"/>
      <c r="AB1" s="50"/>
    </row>
    <row r="2" spans="1:29" s="1" customFormat="1" ht="30">
      <c r="A2" s="14" t="s">
        <v>1</v>
      </c>
      <c r="B2" s="2"/>
      <c r="D2" s="3"/>
      <c r="E2" s="3"/>
      <c r="F2" s="3"/>
      <c r="G2" s="3"/>
      <c r="H2" s="3"/>
      <c r="I2" s="4"/>
      <c r="J2" s="5"/>
      <c r="K2" s="5"/>
      <c r="L2" s="5"/>
      <c r="M2" s="6"/>
      <c r="N2" s="6"/>
      <c r="AA2" s="50"/>
      <c r="AB2" s="50"/>
    </row>
    <row r="3" spans="1:29" s="1" customFormat="1" ht="30">
      <c r="A3" s="14" t="s">
        <v>72</v>
      </c>
      <c r="B3" s="7"/>
      <c r="D3" s="3"/>
      <c r="E3" s="3"/>
      <c r="F3" s="3"/>
      <c r="G3" s="3"/>
      <c r="H3" s="3"/>
      <c r="I3" s="4"/>
      <c r="K3" s="5"/>
      <c r="L3" s="6"/>
      <c r="M3" s="6"/>
      <c r="N3" s="6"/>
      <c r="AA3" s="50"/>
      <c r="AB3" s="50"/>
    </row>
    <row r="4" spans="1:29" ht="20.100000000000001" customHeight="1">
      <c r="A4" s="11"/>
      <c r="B4" s="11"/>
      <c r="C4" s="10"/>
      <c r="D4" s="10"/>
      <c r="E4" s="10"/>
      <c r="F4" s="10"/>
      <c r="G4" s="10"/>
      <c r="H4" s="10"/>
      <c r="I4" s="10"/>
      <c r="J4" s="12"/>
      <c r="K4" s="12"/>
      <c r="L4" s="10"/>
      <c r="M4" s="10"/>
      <c r="N4" s="34" t="s">
        <v>57</v>
      </c>
      <c r="O4" s="12"/>
      <c r="S4" s="18"/>
      <c r="T4" s="18"/>
      <c r="U4" s="18"/>
    </row>
    <row r="5" spans="1:29" s="19" customFormat="1" ht="20.100000000000001" customHeight="1">
      <c r="A5" s="15"/>
      <c r="B5" s="15"/>
      <c r="C5" s="16"/>
      <c r="D5" s="16"/>
      <c r="E5" s="16"/>
      <c r="F5" s="16"/>
      <c r="G5" s="16"/>
      <c r="H5" s="16"/>
      <c r="I5" s="16"/>
      <c r="J5" s="17"/>
      <c r="K5" s="17"/>
      <c r="L5" s="17"/>
      <c r="M5" s="16"/>
      <c r="N5" s="34" t="s">
        <v>58</v>
      </c>
      <c r="O5" s="17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52"/>
      <c r="AB5" s="52"/>
    </row>
    <row r="6" spans="1:29" s="19" customFormat="1" ht="16.8">
      <c r="A6" s="20" t="s">
        <v>47</v>
      </c>
      <c r="B6" s="16"/>
      <c r="C6" s="16"/>
      <c r="D6" s="21" t="s">
        <v>37</v>
      </c>
      <c r="E6" s="21" t="s">
        <v>38</v>
      </c>
      <c r="F6" s="21" t="s">
        <v>39</v>
      </c>
      <c r="G6" s="21" t="s">
        <v>40</v>
      </c>
      <c r="H6" s="21" t="s">
        <v>41</v>
      </c>
      <c r="I6" s="21" t="s">
        <v>2</v>
      </c>
      <c r="J6" s="21" t="s">
        <v>3</v>
      </c>
      <c r="K6" s="21" t="s">
        <v>4</v>
      </c>
      <c r="L6" s="21" t="s">
        <v>5</v>
      </c>
      <c r="M6" s="21" t="s">
        <v>6</v>
      </c>
      <c r="N6" s="22" t="s">
        <v>35</v>
      </c>
      <c r="O6" s="21" t="s">
        <v>45</v>
      </c>
      <c r="P6" s="21" t="s">
        <v>44</v>
      </c>
      <c r="Q6" s="21" t="s">
        <v>52</v>
      </c>
      <c r="R6" s="22" t="s">
        <v>53</v>
      </c>
      <c r="S6" s="22" t="s">
        <v>54</v>
      </c>
      <c r="T6" s="22" t="s">
        <v>55</v>
      </c>
      <c r="U6" s="22" t="s">
        <v>59</v>
      </c>
      <c r="V6" s="22" t="s">
        <v>65</v>
      </c>
      <c r="W6" s="22" t="s">
        <v>67</v>
      </c>
      <c r="X6" s="22" t="s">
        <v>68</v>
      </c>
      <c r="Y6" s="22" t="s">
        <v>69</v>
      </c>
      <c r="Z6" s="22" t="s">
        <v>70</v>
      </c>
      <c r="AA6" s="53" t="s">
        <v>71</v>
      </c>
      <c r="AB6" s="53" t="s">
        <v>73</v>
      </c>
    </row>
    <row r="7" spans="1:29" s="19" customFormat="1" ht="20.100000000000001" customHeight="1">
      <c r="A7" s="16"/>
      <c r="B7" s="16" t="s">
        <v>7</v>
      </c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17"/>
      <c r="P7" s="17"/>
      <c r="Q7" s="17"/>
      <c r="AA7" s="54"/>
      <c r="AB7" s="54"/>
    </row>
    <row r="8" spans="1:29" s="19" customFormat="1" ht="20.100000000000001" hidden="1" customHeight="1">
      <c r="B8" s="16"/>
      <c r="C8" s="37" t="s">
        <v>8</v>
      </c>
      <c r="D8" s="37">
        <v>98322412.600000009</v>
      </c>
      <c r="E8" s="37">
        <v>93911987</v>
      </c>
      <c r="F8" s="37">
        <v>99176186</v>
      </c>
      <c r="G8" s="37">
        <v>106743817</v>
      </c>
      <c r="H8" s="37">
        <v>103679267</v>
      </c>
      <c r="I8" s="37">
        <v>97830212.950000003</v>
      </c>
      <c r="J8" s="37">
        <v>100033769.12</v>
      </c>
      <c r="K8" s="37">
        <v>103466440.78</v>
      </c>
      <c r="L8" s="37">
        <v>102248634.78000002</v>
      </c>
      <c r="M8" s="37">
        <v>107788758.49999999</v>
      </c>
      <c r="N8" s="37">
        <v>122304902</v>
      </c>
      <c r="O8" s="37">
        <v>121522567</v>
      </c>
      <c r="P8" s="37">
        <v>117016379</v>
      </c>
      <c r="Q8" s="37">
        <v>124192545.7</v>
      </c>
      <c r="R8" s="37">
        <v>136256396.44999999</v>
      </c>
      <c r="S8" s="38">
        <v>148388899</v>
      </c>
      <c r="T8" s="38">
        <v>180413594</v>
      </c>
      <c r="U8" s="38">
        <v>200815792</v>
      </c>
      <c r="V8" s="38">
        <v>205237445</v>
      </c>
      <c r="W8" s="38"/>
      <c r="X8" s="38"/>
      <c r="Y8" s="38"/>
      <c r="Z8" s="38"/>
      <c r="AA8" s="55"/>
      <c r="AB8" s="55"/>
    </row>
    <row r="9" spans="1:29" s="19" customFormat="1" ht="20.100000000000001" hidden="1" customHeight="1">
      <c r="B9" s="16"/>
      <c r="C9" s="37" t="s">
        <v>9</v>
      </c>
      <c r="D9" s="37">
        <v>32997070.780000001</v>
      </c>
      <c r="E9" s="37">
        <v>36363398</v>
      </c>
      <c r="F9" s="37">
        <v>39827707</v>
      </c>
      <c r="G9" s="37">
        <v>42602734</v>
      </c>
      <c r="H9" s="37">
        <v>45079659</v>
      </c>
      <c r="I9" s="37">
        <v>42707369.650000006</v>
      </c>
      <c r="J9" s="37">
        <v>47653408.859999999</v>
      </c>
      <c r="K9" s="37">
        <v>58005408.490000002</v>
      </c>
      <c r="L9" s="37">
        <v>65378414.239999995</v>
      </c>
      <c r="M9" s="37">
        <v>67535441.900000006</v>
      </c>
      <c r="N9" s="37">
        <v>85223784</v>
      </c>
      <c r="O9" s="37">
        <v>85144093</v>
      </c>
      <c r="P9" s="37">
        <v>84853863</v>
      </c>
      <c r="Q9" s="37">
        <v>89083486</v>
      </c>
      <c r="R9" s="37">
        <v>98790037.049999997</v>
      </c>
      <c r="S9" s="38">
        <v>104137787</v>
      </c>
      <c r="T9" s="38">
        <v>123020901</v>
      </c>
      <c r="U9" s="38">
        <v>140617665</v>
      </c>
      <c r="V9" s="38">
        <v>138625103</v>
      </c>
      <c r="W9" s="38"/>
      <c r="X9" s="38"/>
      <c r="Y9" s="38"/>
      <c r="Z9" s="38"/>
      <c r="AA9" s="55"/>
      <c r="AB9" s="55"/>
    </row>
    <row r="10" spans="1:29" s="19" customFormat="1" ht="20.100000000000001" hidden="1" customHeight="1">
      <c r="B10" s="16"/>
      <c r="C10" s="37" t="s">
        <v>10</v>
      </c>
      <c r="D10" s="37">
        <v>23361553.810000006</v>
      </c>
      <c r="E10" s="37">
        <v>34418432</v>
      </c>
      <c r="F10" s="37">
        <v>34660104</v>
      </c>
      <c r="G10" s="37">
        <v>33031411</v>
      </c>
      <c r="H10" s="37">
        <v>38825042</v>
      </c>
      <c r="I10" s="37">
        <v>48452635.150000006</v>
      </c>
      <c r="J10" s="37">
        <v>47064891.260000005</v>
      </c>
      <c r="K10" s="37">
        <v>49753560</v>
      </c>
      <c r="L10" s="37">
        <v>51949067.230000004</v>
      </c>
      <c r="M10" s="37">
        <v>52791158.960000001</v>
      </c>
      <c r="N10" s="37">
        <v>69950773</v>
      </c>
      <c r="O10" s="37">
        <v>72115128</v>
      </c>
      <c r="P10" s="37">
        <v>69081005</v>
      </c>
      <c r="Q10" s="37">
        <v>78102547.790000007</v>
      </c>
      <c r="R10" s="37">
        <v>80080978.579999998</v>
      </c>
      <c r="S10" s="38">
        <v>75700371</v>
      </c>
      <c r="T10" s="38">
        <v>76117496</v>
      </c>
      <c r="U10" s="38">
        <v>92983968</v>
      </c>
      <c r="V10" s="38">
        <v>85837950</v>
      </c>
      <c r="W10" s="38"/>
      <c r="X10" s="38"/>
      <c r="Y10" s="38"/>
      <c r="Z10" s="38"/>
      <c r="AA10" s="55"/>
      <c r="AB10" s="55"/>
    </row>
    <row r="11" spans="1:29" s="19" customFormat="1" ht="20.100000000000001" hidden="1" customHeight="1">
      <c r="B11" s="16"/>
      <c r="C11" s="37" t="s">
        <v>11</v>
      </c>
      <c r="D11" s="37">
        <v>1743998.59</v>
      </c>
      <c r="E11" s="37">
        <v>2360839</v>
      </c>
      <c r="F11" s="37">
        <v>2306948</v>
      </c>
      <c r="G11" s="37">
        <v>2543547</v>
      </c>
      <c r="H11" s="37">
        <v>2529952</v>
      </c>
      <c r="I11" s="37">
        <v>2824402.73</v>
      </c>
      <c r="J11" s="37">
        <v>2983029.54</v>
      </c>
      <c r="K11" s="37">
        <v>3099076.04</v>
      </c>
      <c r="L11" s="37">
        <v>2858044.26</v>
      </c>
      <c r="M11" s="37">
        <v>2859235.83</v>
      </c>
      <c r="N11" s="37">
        <v>3503448</v>
      </c>
      <c r="O11" s="37">
        <v>4505779</v>
      </c>
      <c r="P11" s="37">
        <v>3254543</v>
      </c>
      <c r="Q11" s="37">
        <v>4117524.6</v>
      </c>
      <c r="R11" s="37">
        <v>4143754.15</v>
      </c>
      <c r="S11" s="38">
        <v>4868914</v>
      </c>
      <c r="T11" s="38">
        <v>6935962</v>
      </c>
      <c r="U11" s="38">
        <v>6544538</v>
      </c>
      <c r="V11" s="38">
        <v>7782656</v>
      </c>
      <c r="W11" s="38"/>
      <c r="X11" s="38"/>
      <c r="Y11" s="38"/>
      <c r="Z11" s="38"/>
      <c r="AA11" s="55"/>
      <c r="AB11" s="55"/>
    </row>
    <row r="12" spans="1:29" s="19" customFormat="1" ht="20.100000000000001" customHeight="1">
      <c r="B12" s="16"/>
      <c r="C12" s="35" t="s">
        <v>60</v>
      </c>
      <c r="D12" s="35">
        <f>SUM(D8:D11)</f>
        <v>156425035.78000003</v>
      </c>
      <c r="E12" s="35">
        <f t="shared" ref="E12:U12" si="0">SUM(E8:E11)</f>
        <v>167054656</v>
      </c>
      <c r="F12" s="35">
        <f t="shared" si="0"/>
        <v>175970945</v>
      </c>
      <c r="G12" s="35">
        <f t="shared" si="0"/>
        <v>184921509</v>
      </c>
      <c r="H12" s="35">
        <f t="shared" si="0"/>
        <v>190113920</v>
      </c>
      <c r="I12" s="35">
        <f t="shared" si="0"/>
        <v>191814620.48000002</v>
      </c>
      <c r="J12" s="35">
        <f t="shared" si="0"/>
        <v>197735098.78</v>
      </c>
      <c r="K12" s="35">
        <f t="shared" si="0"/>
        <v>214324485.31</v>
      </c>
      <c r="L12" s="35">
        <f t="shared" si="0"/>
        <v>222434160.50999999</v>
      </c>
      <c r="M12" s="35">
        <f t="shared" si="0"/>
        <v>230974595.19</v>
      </c>
      <c r="N12" s="35">
        <f t="shared" si="0"/>
        <v>280982907</v>
      </c>
      <c r="O12" s="35">
        <f t="shared" si="0"/>
        <v>283287567</v>
      </c>
      <c r="P12" s="35">
        <f t="shared" si="0"/>
        <v>274205790</v>
      </c>
      <c r="Q12" s="35">
        <f t="shared" si="0"/>
        <v>295496104.09000003</v>
      </c>
      <c r="R12" s="35">
        <f t="shared" si="0"/>
        <v>319271166.22999996</v>
      </c>
      <c r="S12" s="35">
        <f t="shared" si="0"/>
        <v>333095971</v>
      </c>
      <c r="T12" s="35">
        <f t="shared" si="0"/>
        <v>386487953</v>
      </c>
      <c r="U12" s="35">
        <f t="shared" si="0"/>
        <v>440961963</v>
      </c>
      <c r="V12" s="35">
        <v>448751949</v>
      </c>
      <c r="W12" s="35">
        <v>439322438</v>
      </c>
      <c r="X12" s="35">
        <v>448813678.04000002</v>
      </c>
      <c r="Y12" s="35">
        <v>465755373.24000031</v>
      </c>
      <c r="Z12" s="35">
        <v>564560142.10000002</v>
      </c>
      <c r="AA12" s="56">
        <v>569188334.95700002</v>
      </c>
      <c r="AB12" s="56">
        <v>597647751.75</v>
      </c>
    </row>
    <row r="13" spans="1:29" s="19" customFormat="1" ht="20.100000000000001" hidden="1" customHeight="1">
      <c r="B13" s="16"/>
      <c r="C13" s="37" t="s">
        <v>12</v>
      </c>
      <c r="D13" s="37">
        <v>3584796.88</v>
      </c>
      <c r="E13" s="37">
        <v>2760379.81</v>
      </c>
      <c r="F13" s="37">
        <v>3248582.18</v>
      </c>
      <c r="G13" s="37">
        <v>7036811.2599999998</v>
      </c>
      <c r="H13" s="37">
        <v>5813073.7799999993</v>
      </c>
      <c r="I13" s="37">
        <v>6954795.3999999985</v>
      </c>
      <c r="J13" s="37">
        <v>8334636.9299999997</v>
      </c>
      <c r="K13" s="37">
        <v>5421114.3799999999</v>
      </c>
      <c r="L13" s="37">
        <v>6887406.4499999993</v>
      </c>
      <c r="M13" s="37">
        <v>9406860.6199999992</v>
      </c>
      <c r="N13" s="37">
        <v>15536844</v>
      </c>
      <c r="O13" s="37">
        <v>15095457</v>
      </c>
      <c r="P13" s="37">
        <v>17116931</v>
      </c>
      <c r="Q13" s="37">
        <v>19557630.039999999</v>
      </c>
      <c r="R13" s="37">
        <v>21610944.75</v>
      </c>
      <c r="S13" s="38">
        <v>9727091</v>
      </c>
      <c r="T13" s="38">
        <v>11954182</v>
      </c>
      <c r="U13" s="38">
        <v>12981157</v>
      </c>
      <c r="V13" s="38">
        <v>13500000</v>
      </c>
      <c r="W13" s="38">
        <v>13500000</v>
      </c>
      <c r="X13" s="38">
        <v>62392121</v>
      </c>
      <c r="Y13" s="38">
        <v>47433748.484999999</v>
      </c>
      <c r="Z13" s="38">
        <v>50156936.981000006</v>
      </c>
      <c r="AA13" s="55">
        <v>45370348.347000003</v>
      </c>
      <c r="AB13" s="55">
        <v>48527035.322833329</v>
      </c>
      <c r="AC13" s="39"/>
    </row>
    <row r="14" spans="1:29" s="19" customFormat="1" ht="20.100000000000001" hidden="1" customHeight="1">
      <c r="B14" s="16"/>
      <c r="C14" s="37" t="s">
        <v>13</v>
      </c>
      <c r="D14" s="37">
        <v>8413404.1199999992</v>
      </c>
      <c r="E14" s="37">
        <v>8030627.4799999986</v>
      </c>
      <c r="F14" s="37">
        <v>7352181.8200000003</v>
      </c>
      <c r="G14" s="37">
        <v>7395429.6099999994</v>
      </c>
      <c r="H14" s="37">
        <v>9721872.8999999985</v>
      </c>
      <c r="I14" s="37">
        <v>12223721.41</v>
      </c>
      <c r="J14" s="37">
        <v>13104827.66</v>
      </c>
      <c r="K14" s="37">
        <v>19578038.790000003</v>
      </c>
      <c r="L14" s="37">
        <v>17805310.760000002</v>
      </c>
      <c r="M14" s="37">
        <v>18944958.620000001</v>
      </c>
      <c r="N14" s="37">
        <v>22185007</v>
      </c>
      <c r="O14" s="37">
        <v>22735730</v>
      </c>
      <c r="P14" s="37">
        <v>26244143</v>
      </c>
      <c r="Q14" s="37">
        <v>29882524</v>
      </c>
      <c r="R14" s="37">
        <v>26140563.27</v>
      </c>
      <c r="S14" s="40">
        <v>37486904.190000005</v>
      </c>
      <c r="T14" s="40">
        <v>33179436</v>
      </c>
      <c r="U14" s="40">
        <v>35854282</v>
      </c>
      <c r="V14" s="37">
        <f>40904119+13156639</f>
        <v>54060758</v>
      </c>
      <c r="W14" s="37">
        <f>40904119+13156639</f>
        <v>54060758</v>
      </c>
      <c r="X14" s="37"/>
      <c r="Y14" s="37"/>
      <c r="Z14" s="37"/>
      <c r="AA14" s="57"/>
      <c r="AB14" s="57"/>
      <c r="AC14" s="39"/>
    </row>
    <row r="15" spans="1:29" s="19" customFormat="1" ht="20.100000000000001" customHeight="1">
      <c r="B15" s="16"/>
      <c r="C15" s="35" t="s">
        <v>61</v>
      </c>
      <c r="D15" s="35">
        <f>+D14+D13</f>
        <v>11998201</v>
      </c>
      <c r="E15" s="35">
        <f t="shared" ref="E15:U15" si="1">+E14+E13</f>
        <v>10791007.289999999</v>
      </c>
      <c r="F15" s="35">
        <f t="shared" si="1"/>
        <v>10600764</v>
      </c>
      <c r="G15" s="35">
        <f t="shared" si="1"/>
        <v>14432240.869999999</v>
      </c>
      <c r="H15" s="35">
        <f t="shared" si="1"/>
        <v>15534946.679999998</v>
      </c>
      <c r="I15" s="35">
        <f t="shared" si="1"/>
        <v>19178516.809999999</v>
      </c>
      <c r="J15" s="35">
        <f t="shared" si="1"/>
        <v>21439464.59</v>
      </c>
      <c r="K15" s="35">
        <f t="shared" si="1"/>
        <v>24999153.170000002</v>
      </c>
      <c r="L15" s="35">
        <f t="shared" si="1"/>
        <v>24692717.210000001</v>
      </c>
      <c r="M15" s="35">
        <f t="shared" si="1"/>
        <v>28351819.240000002</v>
      </c>
      <c r="N15" s="35">
        <f t="shared" si="1"/>
        <v>37721851</v>
      </c>
      <c r="O15" s="35">
        <f t="shared" si="1"/>
        <v>37831187</v>
      </c>
      <c r="P15" s="35">
        <f t="shared" si="1"/>
        <v>43361074</v>
      </c>
      <c r="Q15" s="35">
        <f t="shared" si="1"/>
        <v>49440154.039999999</v>
      </c>
      <c r="R15" s="35">
        <f t="shared" si="1"/>
        <v>47751508.019999996</v>
      </c>
      <c r="S15" s="35">
        <f t="shared" si="1"/>
        <v>47213995.190000005</v>
      </c>
      <c r="T15" s="35">
        <f t="shared" si="1"/>
        <v>45133618</v>
      </c>
      <c r="U15" s="35">
        <f t="shared" si="1"/>
        <v>48835439</v>
      </c>
      <c r="V15" s="35">
        <v>58002689</v>
      </c>
      <c r="W15" s="35">
        <v>60181069.700000003</v>
      </c>
      <c r="X15" s="35">
        <v>62392121</v>
      </c>
      <c r="Y15" s="35">
        <v>47433748.484999999</v>
      </c>
      <c r="Z15" s="35">
        <v>50156936.981000006</v>
      </c>
      <c r="AA15" s="56">
        <v>45370348.347000003</v>
      </c>
      <c r="AB15" s="56">
        <v>48527035.322833329</v>
      </c>
    </row>
    <row r="16" spans="1:29" s="19" customFormat="1" ht="20.100000000000001" customHeight="1">
      <c r="B16" s="16" t="s">
        <v>49</v>
      </c>
      <c r="C16" s="16"/>
      <c r="D16" s="25">
        <f>+D15+D12</f>
        <v>168423236.78000003</v>
      </c>
      <c r="E16" s="25">
        <f t="shared" ref="E16:X16" si="2">+E15+E12</f>
        <v>177845663.28999999</v>
      </c>
      <c r="F16" s="25">
        <f t="shared" si="2"/>
        <v>186571709</v>
      </c>
      <c r="G16" s="25">
        <f t="shared" si="2"/>
        <v>199353749.87</v>
      </c>
      <c r="H16" s="25">
        <f t="shared" si="2"/>
        <v>205648866.68000001</v>
      </c>
      <c r="I16" s="25">
        <f t="shared" si="2"/>
        <v>210993137.29000002</v>
      </c>
      <c r="J16" s="25">
        <f t="shared" si="2"/>
        <v>219174563.37</v>
      </c>
      <c r="K16" s="25">
        <f t="shared" si="2"/>
        <v>239323638.48000002</v>
      </c>
      <c r="L16" s="25">
        <f t="shared" si="2"/>
        <v>247126877.72</v>
      </c>
      <c r="M16" s="25">
        <f t="shared" si="2"/>
        <v>259326414.43000001</v>
      </c>
      <c r="N16" s="25">
        <f t="shared" si="2"/>
        <v>318704758</v>
      </c>
      <c r="O16" s="25">
        <f t="shared" si="2"/>
        <v>321118754</v>
      </c>
      <c r="P16" s="25">
        <f t="shared" si="2"/>
        <v>317566864</v>
      </c>
      <c r="Q16" s="25">
        <f t="shared" si="2"/>
        <v>344936258.13000005</v>
      </c>
      <c r="R16" s="25">
        <f t="shared" si="2"/>
        <v>367022674.24999994</v>
      </c>
      <c r="S16" s="25">
        <f t="shared" si="2"/>
        <v>380309966.19</v>
      </c>
      <c r="T16" s="25">
        <f t="shared" si="2"/>
        <v>431621571</v>
      </c>
      <c r="U16" s="25">
        <f t="shared" si="2"/>
        <v>489797402</v>
      </c>
      <c r="V16" s="25">
        <f t="shared" si="2"/>
        <v>506754638</v>
      </c>
      <c r="W16" s="25">
        <f t="shared" si="2"/>
        <v>499503507.69999999</v>
      </c>
      <c r="X16" s="25">
        <f t="shared" si="2"/>
        <v>511205799.04000002</v>
      </c>
      <c r="Y16" s="25">
        <f>+Y15+Y12</f>
        <v>513189121.72500032</v>
      </c>
      <c r="Z16" s="25">
        <f>+Z15+Z12</f>
        <v>614717079.08100009</v>
      </c>
      <c r="AA16" s="58">
        <f>+AA15+AA12</f>
        <v>614558683.30400002</v>
      </c>
      <c r="AB16" s="58">
        <f>+AB15+AB12</f>
        <v>646174787.0728333</v>
      </c>
    </row>
    <row r="17" spans="1:28" s="19" customFormat="1" ht="20.100000000000001" customHeight="1">
      <c r="B17" s="16"/>
      <c r="C17" s="16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AA17" s="54"/>
      <c r="AB17" s="54"/>
    </row>
    <row r="18" spans="1:28" s="19" customFormat="1" ht="20.100000000000001" customHeight="1">
      <c r="A18" s="26"/>
      <c r="B18" s="41" t="s">
        <v>50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9"/>
      <c r="T18" s="9"/>
      <c r="U18" s="9"/>
      <c r="V18" s="9"/>
      <c r="W18" s="9"/>
      <c r="X18" s="9"/>
      <c r="Y18" s="9"/>
      <c r="Z18" s="9"/>
      <c r="AA18" s="51"/>
      <c r="AB18" s="51"/>
    </row>
    <row r="19" spans="1:28" s="19" customFormat="1" ht="20.100000000000001" customHeight="1">
      <c r="A19" s="26"/>
      <c r="B19" s="41" t="s">
        <v>18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9"/>
      <c r="T19" s="9"/>
      <c r="U19" s="9"/>
      <c r="V19" s="9"/>
      <c r="W19" s="9"/>
      <c r="X19" s="9"/>
      <c r="Y19" s="9"/>
      <c r="AA19" s="54"/>
      <c r="AB19" s="54"/>
    </row>
    <row r="20" spans="1:28" s="19" customFormat="1" ht="20.100000000000001" customHeight="1">
      <c r="A20" s="26"/>
      <c r="B20" s="41"/>
      <c r="C20" s="35" t="s">
        <v>62</v>
      </c>
      <c r="D20" s="35">
        <v>115748275</v>
      </c>
      <c r="E20" s="35">
        <v>118641982</v>
      </c>
      <c r="F20" s="35">
        <v>121608032</v>
      </c>
      <c r="G20" s="35">
        <v>124648231</v>
      </c>
      <c r="H20" s="35">
        <v>127764437</v>
      </c>
      <c r="I20" s="35">
        <v>130958548</v>
      </c>
      <c r="J20" s="35">
        <v>134232512</v>
      </c>
      <c r="K20" s="35">
        <v>137588326</v>
      </c>
      <c r="L20" s="35">
        <v>141028033</v>
      </c>
      <c r="M20" s="35">
        <v>144553734</v>
      </c>
      <c r="N20" s="35">
        <v>144553734</v>
      </c>
      <c r="O20" s="35">
        <v>142872642</v>
      </c>
      <c r="P20" s="35">
        <v>141142768</v>
      </c>
      <c r="Q20" s="35">
        <v>139437832</v>
      </c>
      <c r="R20" s="35">
        <v>137732280</v>
      </c>
      <c r="S20" s="9">
        <v>136026829</v>
      </c>
      <c r="T20" s="9">
        <v>139427540</v>
      </c>
      <c r="U20" s="9">
        <v>142913229</v>
      </c>
      <c r="V20" s="9">
        <v>146486060</v>
      </c>
      <c r="W20" s="9">
        <v>150148212</v>
      </c>
      <c r="X20" s="36">
        <v>150429215</v>
      </c>
      <c r="Y20" s="9">
        <v>152125176</v>
      </c>
      <c r="Z20" s="36">
        <v>155921367</v>
      </c>
      <c r="AA20" s="59">
        <v>157149865</v>
      </c>
      <c r="AB20" s="59">
        <v>160135712</v>
      </c>
    </row>
    <row r="21" spans="1:28" s="19" customFormat="1" ht="20.100000000000001" customHeight="1">
      <c r="A21" s="26"/>
      <c r="B21" s="41"/>
      <c r="C21" s="35" t="s">
        <v>63</v>
      </c>
      <c r="D21" s="35">
        <v>413823846</v>
      </c>
      <c r="E21" s="35">
        <v>454656147.77999997</v>
      </c>
      <c r="F21" s="35">
        <v>462895240.75</v>
      </c>
      <c r="G21" s="35">
        <v>481213484.45000005</v>
      </c>
      <c r="H21" s="35">
        <v>429672522.08000004</v>
      </c>
      <c r="I21" s="35">
        <v>433451500.75</v>
      </c>
      <c r="J21" s="35">
        <v>483134528.16999996</v>
      </c>
      <c r="K21" s="35">
        <v>515870433.62</v>
      </c>
      <c r="L21" s="35">
        <v>577629697.47000003</v>
      </c>
      <c r="M21" s="35">
        <v>587504666.11000001</v>
      </c>
      <c r="N21" s="35">
        <v>590772447</v>
      </c>
      <c r="O21" s="35">
        <v>664350000</v>
      </c>
      <c r="P21" s="35">
        <v>682094554</v>
      </c>
      <c r="Q21" s="35">
        <v>686976315.57000005</v>
      </c>
      <c r="R21" s="35">
        <v>704620528.16999996</v>
      </c>
      <c r="S21" s="36">
        <v>711086005</v>
      </c>
      <c r="T21" s="36">
        <v>733963311</v>
      </c>
      <c r="U21" s="36">
        <v>755982210</v>
      </c>
      <c r="V21" s="36">
        <v>767056684</v>
      </c>
      <c r="W21" s="36">
        <v>767056684</v>
      </c>
      <c r="X21" s="9">
        <v>767056684</v>
      </c>
      <c r="Y21" s="36">
        <v>781072865.35000002</v>
      </c>
      <c r="Z21" s="36">
        <v>786866936</v>
      </c>
      <c r="AA21" s="59">
        <v>799295175</v>
      </c>
      <c r="AB21" s="59">
        <v>810637174.45047998</v>
      </c>
    </row>
    <row r="22" spans="1:28" s="19" customFormat="1" ht="20.100000000000001" hidden="1" customHeight="1">
      <c r="A22" s="26"/>
      <c r="B22" s="42"/>
      <c r="C22" s="37" t="s">
        <v>14</v>
      </c>
      <c r="D22" s="37">
        <v>5359203</v>
      </c>
      <c r="E22" s="37">
        <v>3666091.53</v>
      </c>
      <c r="F22" s="37">
        <v>3695308.92</v>
      </c>
      <c r="G22" s="37">
        <v>2503272.67</v>
      </c>
      <c r="H22" s="37">
        <v>3420427.36</v>
      </c>
      <c r="I22" s="37">
        <v>5248347.57</v>
      </c>
      <c r="J22" s="37">
        <v>5914912.9500000002</v>
      </c>
      <c r="K22" s="37">
        <v>6303304.8600000003</v>
      </c>
      <c r="L22" s="37">
        <v>4032175.27</v>
      </c>
      <c r="M22" s="37">
        <v>5346196.55</v>
      </c>
      <c r="N22" s="37">
        <v>10686563</v>
      </c>
      <c r="O22" s="37">
        <v>5563211</v>
      </c>
      <c r="P22" s="37">
        <v>2587324</v>
      </c>
      <c r="Q22" s="37">
        <v>2062669</v>
      </c>
      <c r="R22" s="37">
        <v>4361466.7</v>
      </c>
      <c r="S22" s="38">
        <v>3447601</v>
      </c>
      <c r="T22" s="38">
        <v>4843353</v>
      </c>
      <c r="U22" s="38">
        <v>6667974</v>
      </c>
      <c r="V22" s="38">
        <v>4000000</v>
      </c>
      <c r="W22" s="38"/>
      <c r="X22" s="38"/>
      <c r="Y22" s="38">
        <v>160000004</v>
      </c>
      <c r="Z22" s="49">
        <v>786866936</v>
      </c>
      <c r="AA22" s="60">
        <v>786866936</v>
      </c>
      <c r="AB22" s="60">
        <v>786866936</v>
      </c>
    </row>
    <row r="23" spans="1:28" s="19" customFormat="1" ht="20.100000000000001" hidden="1" customHeight="1">
      <c r="A23" s="26"/>
      <c r="B23" s="42"/>
      <c r="C23" s="37" t="s">
        <v>15</v>
      </c>
      <c r="D23" s="37">
        <v>0</v>
      </c>
      <c r="E23" s="37">
        <v>1184163.3999999999</v>
      </c>
      <c r="F23" s="37">
        <v>988178.33</v>
      </c>
      <c r="G23" s="37">
        <v>3225578.99</v>
      </c>
      <c r="H23" s="37">
        <v>2779842.84</v>
      </c>
      <c r="I23" s="37">
        <v>14008906.390000001</v>
      </c>
      <c r="J23" s="37">
        <v>3167843.95</v>
      </c>
      <c r="K23" s="37">
        <v>17389124.09</v>
      </c>
      <c r="L23" s="37">
        <v>25270242.270000003</v>
      </c>
      <c r="M23" s="37">
        <v>9154919.2599999998</v>
      </c>
      <c r="N23" s="37">
        <v>8331503</v>
      </c>
      <c r="O23" s="37">
        <v>5368605</v>
      </c>
      <c r="P23" s="37">
        <v>6962483</v>
      </c>
      <c r="Q23" s="37">
        <v>8673033.7799999993</v>
      </c>
      <c r="R23" s="37">
        <v>4194910.91</v>
      </c>
      <c r="S23" s="38">
        <v>23076729</v>
      </c>
      <c r="T23" s="38">
        <v>18836131</v>
      </c>
      <c r="U23" s="38">
        <v>2060329</v>
      </c>
      <c r="V23" s="38">
        <f>15262344.48+8400000</f>
        <v>23662344.48</v>
      </c>
      <c r="W23" s="38"/>
      <c r="X23" s="38"/>
      <c r="Y23" s="38">
        <v>50958509.119999997</v>
      </c>
      <c r="Z23" s="49">
        <v>155921367</v>
      </c>
      <c r="AA23" s="60">
        <v>155921367</v>
      </c>
      <c r="AB23" s="60">
        <v>155921367</v>
      </c>
    </row>
    <row r="24" spans="1:28" s="19" customFormat="1" ht="20.100000000000001" hidden="1" customHeight="1">
      <c r="A24" s="26"/>
      <c r="B24" s="42"/>
      <c r="C24" s="37" t="s">
        <v>16</v>
      </c>
      <c r="D24" s="37">
        <v>18110310</v>
      </c>
      <c r="E24" s="37">
        <v>18141994</v>
      </c>
      <c r="F24" s="37">
        <v>17643018</v>
      </c>
      <c r="G24" s="37">
        <v>17229943</v>
      </c>
      <c r="H24" s="37">
        <v>15216023</v>
      </c>
      <c r="I24" s="37">
        <v>12804005.76</v>
      </c>
      <c r="J24" s="37">
        <v>6316525</v>
      </c>
      <c r="K24" s="37">
        <v>2927123</v>
      </c>
      <c r="L24" s="37">
        <v>6500000</v>
      </c>
      <c r="M24" s="37">
        <v>6453228</v>
      </c>
      <c r="N24" s="37">
        <v>6500000</v>
      </c>
      <c r="O24" s="37">
        <v>2224876</v>
      </c>
      <c r="P24" s="37">
        <v>1140131</v>
      </c>
      <c r="Q24" s="37">
        <v>305099.83</v>
      </c>
      <c r="R24" s="37">
        <v>6614492.9400000004</v>
      </c>
      <c r="S24" s="38">
        <v>10884751</v>
      </c>
      <c r="T24" s="38">
        <v>8035587</v>
      </c>
      <c r="U24" s="38">
        <v>8025720</v>
      </c>
      <c r="V24" s="38">
        <f>8000000+2000000</f>
        <v>10000000</v>
      </c>
      <c r="W24" s="38"/>
      <c r="X24" s="38"/>
      <c r="Y24" s="38"/>
      <c r="Z24" s="38"/>
      <c r="AA24" s="55"/>
      <c r="AB24" s="55"/>
    </row>
    <row r="25" spans="1:28" s="19" customFormat="1" ht="20.100000000000001" hidden="1" customHeight="1">
      <c r="A25" s="26"/>
      <c r="B25" s="42"/>
      <c r="C25" s="37" t="s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89277.28</v>
      </c>
      <c r="L25" s="43">
        <v>3246010.81</v>
      </c>
      <c r="M25" s="43">
        <v>5110330.54</v>
      </c>
      <c r="N25" s="43">
        <v>2221903</v>
      </c>
      <c r="O25" s="43">
        <v>1850821</v>
      </c>
      <c r="P25" s="43">
        <v>1996312</v>
      </c>
      <c r="Q25" s="43">
        <v>1772399.08</v>
      </c>
      <c r="R25" s="43">
        <v>1534659.87</v>
      </c>
      <c r="S25" s="44">
        <v>2206452</v>
      </c>
      <c r="T25" s="44">
        <v>2451926</v>
      </c>
      <c r="U25" s="44">
        <v>2307054</v>
      </c>
      <c r="V25" s="44">
        <v>3051000</v>
      </c>
      <c r="W25" s="44"/>
      <c r="X25" s="44"/>
      <c r="Y25" s="44"/>
      <c r="Z25" s="44"/>
      <c r="AA25" s="61"/>
      <c r="AB25" s="61"/>
    </row>
    <row r="26" spans="1:28" s="19" customFormat="1" ht="20.100000000000001" customHeight="1">
      <c r="A26" s="26"/>
      <c r="B26" s="42"/>
      <c r="C26" s="35" t="s">
        <v>66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0"/>
      <c r="T26" s="40"/>
      <c r="U26" s="40"/>
      <c r="V26" s="40"/>
      <c r="W26" s="36">
        <v>159999996</v>
      </c>
      <c r="X26" s="36">
        <v>159999996</v>
      </c>
      <c r="Y26" s="36">
        <v>160000004</v>
      </c>
      <c r="Z26" s="36">
        <v>160000000</v>
      </c>
      <c r="AA26" s="59">
        <v>160000000</v>
      </c>
      <c r="AB26" s="59">
        <v>160000000</v>
      </c>
    </row>
    <row r="27" spans="1:28" s="19" customFormat="1" ht="20.100000000000001" customHeight="1">
      <c r="A27" s="26"/>
      <c r="B27" s="42"/>
      <c r="C27" s="35" t="s">
        <v>74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40"/>
      <c r="T27" s="40"/>
      <c r="U27" s="40"/>
      <c r="V27" s="40"/>
      <c r="W27" s="36"/>
      <c r="X27" s="36"/>
      <c r="Y27" s="36"/>
      <c r="Z27" s="36"/>
      <c r="AA27" s="59">
        <v>118059456</v>
      </c>
      <c r="AB27" s="59">
        <v>135100000</v>
      </c>
    </row>
    <row r="28" spans="1:28" s="19" customFormat="1" ht="20.100000000000001" customHeight="1">
      <c r="A28" s="26"/>
      <c r="B28" s="41"/>
      <c r="C28" s="35" t="s">
        <v>64</v>
      </c>
      <c r="D28" s="35">
        <f>SUM(D22:D25)</f>
        <v>23469513</v>
      </c>
      <c r="E28" s="35">
        <f t="shared" ref="E28:U28" si="3">SUM(E22:E25)</f>
        <v>22992248.93</v>
      </c>
      <c r="F28" s="35">
        <f t="shared" si="3"/>
        <v>22326505.25</v>
      </c>
      <c r="G28" s="35">
        <f t="shared" si="3"/>
        <v>22958794.66</v>
      </c>
      <c r="H28" s="35">
        <f t="shared" si="3"/>
        <v>21416293.199999999</v>
      </c>
      <c r="I28" s="35">
        <f t="shared" si="3"/>
        <v>32061259.719999999</v>
      </c>
      <c r="J28" s="35">
        <f t="shared" si="3"/>
        <v>15399281.9</v>
      </c>
      <c r="K28" s="35">
        <f t="shared" si="3"/>
        <v>26708829.23</v>
      </c>
      <c r="L28" s="35">
        <f t="shared" si="3"/>
        <v>39048428.350000009</v>
      </c>
      <c r="M28" s="35">
        <f t="shared" si="3"/>
        <v>26064674.349999998</v>
      </c>
      <c r="N28" s="35">
        <f t="shared" si="3"/>
        <v>27739969</v>
      </c>
      <c r="O28" s="35">
        <f t="shared" si="3"/>
        <v>15007513</v>
      </c>
      <c r="P28" s="35">
        <f t="shared" si="3"/>
        <v>12686250</v>
      </c>
      <c r="Q28" s="35">
        <f t="shared" si="3"/>
        <v>12813201.689999999</v>
      </c>
      <c r="R28" s="35">
        <f t="shared" si="3"/>
        <v>16705530.420000002</v>
      </c>
      <c r="S28" s="35">
        <f t="shared" si="3"/>
        <v>39615533</v>
      </c>
      <c r="T28" s="35">
        <f t="shared" si="3"/>
        <v>34166997</v>
      </c>
      <c r="U28" s="35">
        <f t="shared" si="3"/>
        <v>19061077</v>
      </c>
      <c r="V28" s="35">
        <v>26167562</v>
      </c>
      <c r="W28" s="35">
        <v>35963994.700000003</v>
      </c>
      <c r="X28" s="35">
        <v>24490782.109999999</v>
      </c>
      <c r="Y28" s="35">
        <v>50958509.119999997</v>
      </c>
      <c r="Z28" s="35">
        <v>76835316.640000001</v>
      </c>
      <c r="AA28" s="56">
        <v>17492276</v>
      </c>
      <c r="AB28" s="56">
        <v>31045029</v>
      </c>
    </row>
    <row r="29" spans="1:28" s="19" customFormat="1" ht="20.100000000000001" customHeight="1">
      <c r="A29" s="26"/>
      <c r="B29" s="41" t="s">
        <v>51</v>
      </c>
      <c r="C29" s="41"/>
      <c r="D29" s="45">
        <f t="shared" ref="D29:V29" si="4">+D28+D21+D20</f>
        <v>553041634</v>
      </c>
      <c r="E29" s="45">
        <f t="shared" si="4"/>
        <v>596290378.71000004</v>
      </c>
      <c r="F29" s="45">
        <f t="shared" si="4"/>
        <v>606829778</v>
      </c>
      <c r="G29" s="45">
        <f t="shared" si="4"/>
        <v>628820510.11000013</v>
      </c>
      <c r="H29" s="45">
        <f t="shared" si="4"/>
        <v>578853252.27999997</v>
      </c>
      <c r="I29" s="45">
        <f t="shared" si="4"/>
        <v>596471308.47000003</v>
      </c>
      <c r="J29" s="45">
        <f t="shared" si="4"/>
        <v>632766322.06999993</v>
      </c>
      <c r="K29" s="45">
        <f t="shared" si="4"/>
        <v>680167588.85000002</v>
      </c>
      <c r="L29" s="45">
        <f t="shared" si="4"/>
        <v>757706158.82000005</v>
      </c>
      <c r="M29" s="45">
        <f t="shared" si="4"/>
        <v>758123074.46000004</v>
      </c>
      <c r="N29" s="45">
        <f t="shared" si="4"/>
        <v>763066150</v>
      </c>
      <c r="O29" s="45">
        <f t="shared" si="4"/>
        <v>822230155</v>
      </c>
      <c r="P29" s="45">
        <f t="shared" si="4"/>
        <v>835923572</v>
      </c>
      <c r="Q29" s="45">
        <f t="shared" si="4"/>
        <v>839227349.26000011</v>
      </c>
      <c r="R29" s="45">
        <f t="shared" si="4"/>
        <v>859058338.58999991</v>
      </c>
      <c r="S29" s="45">
        <f t="shared" si="4"/>
        <v>886728367</v>
      </c>
      <c r="T29" s="45">
        <f t="shared" si="4"/>
        <v>907557848</v>
      </c>
      <c r="U29" s="45">
        <f t="shared" si="4"/>
        <v>917956516</v>
      </c>
      <c r="V29" s="45">
        <f t="shared" si="4"/>
        <v>939710306</v>
      </c>
      <c r="W29" s="45">
        <f>+W28+W21+W20+W26</f>
        <v>1113168886.7</v>
      </c>
      <c r="X29" s="45">
        <f>+X28+X21+X20+X26</f>
        <v>1101976677.1100001</v>
      </c>
      <c r="Y29" s="45">
        <f>+Y28+Y21+Y20+Y26</f>
        <v>1144156554.47</v>
      </c>
      <c r="Z29" s="45">
        <f>+Z28+Z20+Z21+Z26</f>
        <v>1179623619.6399999</v>
      </c>
      <c r="AA29" s="62">
        <f>+AA28+AA21+AA20+AA26+AA27</f>
        <v>1251996772</v>
      </c>
      <c r="AB29" s="62">
        <f>+AB28+AB21+AB20+AB26+AB27</f>
        <v>1296917915.45048</v>
      </c>
    </row>
    <row r="30" spans="1:28" s="19" customFormat="1" ht="20.100000000000001" customHeight="1">
      <c r="B30" s="16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63"/>
      <c r="AB30" s="63"/>
    </row>
    <row r="31" spans="1:28" s="19" customFormat="1" ht="20.100000000000001" customHeight="1">
      <c r="B31" s="16" t="s">
        <v>19</v>
      </c>
      <c r="C31" s="16"/>
      <c r="D31" s="25">
        <f>+D29+D16</f>
        <v>721464870.77999997</v>
      </c>
      <c r="E31" s="25">
        <f t="shared" ref="E31:V31" si="5">+E29+E16</f>
        <v>774136042</v>
      </c>
      <c r="F31" s="25">
        <f t="shared" si="5"/>
        <v>793401487</v>
      </c>
      <c r="G31" s="25">
        <f t="shared" si="5"/>
        <v>828174259.98000014</v>
      </c>
      <c r="H31" s="25">
        <f t="shared" si="5"/>
        <v>784502118.96000004</v>
      </c>
      <c r="I31" s="25">
        <f t="shared" si="5"/>
        <v>807464445.75999999</v>
      </c>
      <c r="J31" s="25">
        <f t="shared" si="5"/>
        <v>851940885.43999994</v>
      </c>
      <c r="K31" s="25">
        <f t="shared" si="5"/>
        <v>919491227.33000004</v>
      </c>
      <c r="L31" s="25">
        <f t="shared" si="5"/>
        <v>1004833036.5400001</v>
      </c>
      <c r="M31" s="25">
        <f t="shared" si="5"/>
        <v>1017449488.8900001</v>
      </c>
      <c r="N31" s="25">
        <f t="shared" si="5"/>
        <v>1081770908</v>
      </c>
      <c r="O31" s="25">
        <f t="shared" si="5"/>
        <v>1143348909</v>
      </c>
      <c r="P31" s="25">
        <f t="shared" si="5"/>
        <v>1153490436</v>
      </c>
      <c r="Q31" s="25">
        <f t="shared" si="5"/>
        <v>1184163607.3900001</v>
      </c>
      <c r="R31" s="25">
        <f t="shared" si="5"/>
        <v>1226081012.8399999</v>
      </c>
      <c r="S31" s="25">
        <f t="shared" si="5"/>
        <v>1267038333.1900001</v>
      </c>
      <c r="T31" s="25">
        <f t="shared" si="5"/>
        <v>1339179419</v>
      </c>
      <c r="U31" s="25">
        <f t="shared" si="5"/>
        <v>1407753918</v>
      </c>
      <c r="V31" s="25">
        <f t="shared" si="5"/>
        <v>1446464944</v>
      </c>
      <c r="W31" s="25">
        <f t="shared" ref="W31:AB31" si="6">+W29+W16</f>
        <v>1612672394.4000001</v>
      </c>
      <c r="X31" s="25">
        <f t="shared" si="6"/>
        <v>1613182476.1500001</v>
      </c>
      <c r="Y31" s="25">
        <f t="shared" si="6"/>
        <v>1657345676.1950004</v>
      </c>
      <c r="Z31" s="25">
        <f t="shared" si="6"/>
        <v>1794340698.721</v>
      </c>
      <c r="AA31" s="58">
        <f t="shared" si="6"/>
        <v>1866555455.3039999</v>
      </c>
      <c r="AB31" s="58">
        <f t="shared" si="6"/>
        <v>1943092702.5233133</v>
      </c>
    </row>
    <row r="32" spans="1:28" s="19" customFormat="1" ht="20.100000000000001" customHeight="1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23"/>
      <c r="M32" s="23"/>
      <c r="N32" s="23"/>
      <c r="O32" s="23"/>
      <c r="P32" s="23"/>
      <c r="Q32" s="23"/>
      <c r="R32" s="23"/>
      <c r="AA32" s="54"/>
      <c r="AB32" s="54"/>
    </row>
    <row r="33" spans="1:28" s="19" customFormat="1" ht="20.100000000000001" customHeight="1">
      <c r="A33" s="27" t="s">
        <v>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23"/>
      <c r="M33" s="23"/>
      <c r="N33" s="23"/>
      <c r="O33" s="23"/>
      <c r="P33" s="23"/>
      <c r="Q33" s="23"/>
      <c r="R33" s="23"/>
      <c r="AA33" s="54"/>
      <c r="AB33" s="54"/>
    </row>
    <row r="34" spans="1:28" s="19" customFormat="1" ht="20.100000000000001" customHeight="1">
      <c r="B34" s="16" t="s">
        <v>21</v>
      </c>
      <c r="C34" s="16"/>
      <c r="D34" s="16"/>
      <c r="E34" s="16"/>
      <c r="F34" s="16"/>
      <c r="G34" s="16"/>
      <c r="H34" s="16"/>
      <c r="I34" s="16"/>
      <c r="J34" s="16"/>
      <c r="K34" s="16"/>
      <c r="L34" s="23"/>
      <c r="M34" s="23"/>
      <c r="N34" s="23"/>
      <c r="O34" s="23"/>
      <c r="P34" s="23"/>
      <c r="Q34" s="23"/>
      <c r="R34" s="23"/>
      <c r="AA34" s="54"/>
      <c r="AB34" s="54"/>
    </row>
    <row r="35" spans="1:28" s="19" customFormat="1" ht="20.100000000000001" customHeight="1">
      <c r="A35" s="17"/>
      <c r="B35" s="17"/>
      <c r="C35" s="23" t="s">
        <v>22</v>
      </c>
      <c r="D35" s="23">
        <f>247455137-1107080</f>
        <v>246348057</v>
      </c>
      <c r="E35" s="23">
        <f>249121670-1107080</f>
        <v>248014590</v>
      </c>
      <c r="F35" s="23">
        <f>245027329-1107080</f>
        <v>243920249</v>
      </c>
      <c r="G35" s="23">
        <v>265971128</v>
      </c>
      <c r="H35" s="23">
        <v>238107551.13999999</v>
      </c>
      <c r="I35" s="23">
        <v>240328600.86000001</v>
      </c>
      <c r="J35" s="23">
        <v>242549743.94999999</v>
      </c>
      <c r="K35" s="23">
        <v>247641360.93000001</v>
      </c>
      <c r="L35" s="23">
        <v>281339616.79000002</v>
      </c>
      <c r="M35" s="23">
        <v>283120855.75</v>
      </c>
      <c r="N35" s="23">
        <v>291092991</v>
      </c>
      <c r="O35" s="23">
        <v>307843432</v>
      </c>
      <c r="P35" s="23">
        <v>311714068</v>
      </c>
      <c r="Q35" s="23">
        <v>319328460.24000007</v>
      </c>
      <c r="R35" s="23">
        <v>337189978.38</v>
      </c>
      <c r="S35" s="19">
        <v>347845647.35000002</v>
      </c>
      <c r="T35" s="19">
        <v>353664244.66000003</v>
      </c>
      <c r="U35" s="19">
        <v>361508444</v>
      </c>
      <c r="V35" s="19">
        <v>402881584</v>
      </c>
      <c r="W35" s="19">
        <v>396739644.39999998</v>
      </c>
      <c r="X35" s="19">
        <v>398341655.89999998</v>
      </c>
      <c r="Y35" s="19">
        <v>410179987.73000002</v>
      </c>
      <c r="Z35" s="19">
        <v>422107186.76999992</v>
      </c>
      <c r="AA35" s="54">
        <v>432264426.85399997</v>
      </c>
      <c r="AB35" s="54">
        <v>493470467.2972784</v>
      </c>
    </row>
    <row r="36" spans="1:28" s="19" customFormat="1" ht="20.100000000000001" customHeight="1">
      <c r="A36" s="17"/>
      <c r="B36" s="17"/>
      <c r="C36" s="23" t="s">
        <v>48</v>
      </c>
      <c r="D36" s="23">
        <v>74868914</v>
      </c>
      <c r="E36" s="23">
        <f>39155254+13307052+659321+1600000+54830217+1199990-26423080</f>
        <v>84328754</v>
      </c>
      <c r="F36" s="23">
        <f>116620161-21272059-956295</f>
        <v>94391807</v>
      </c>
      <c r="G36" s="23">
        <v>102058362</v>
      </c>
      <c r="H36" s="23">
        <v>87032361.489999995</v>
      </c>
      <c r="I36" s="23">
        <v>78965913.549999997</v>
      </c>
      <c r="J36" s="23">
        <v>83027816.859999999</v>
      </c>
      <c r="K36" s="23">
        <v>91083909.650000006</v>
      </c>
      <c r="L36" s="23">
        <v>91729345.599999994</v>
      </c>
      <c r="M36" s="23">
        <v>96735354.859999999</v>
      </c>
      <c r="N36" s="23">
        <v>99401191</v>
      </c>
      <c r="O36" s="23">
        <v>97520302</v>
      </c>
      <c r="P36" s="23">
        <v>103997754</v>
      </c>
      <c r="Q36" s="23">
        <v>114468704.69</v>
      </c>
      <c r="R36" s="23">
        <v>125336543</v>
      </c>
      <c r="S36" s="19">
        <v>146386155</v>
      </c>
      <c r="T36" s="19">
        <v>158339840</v>
      </c>
      <c r="U36" s="19">
        <v>160040569</v>
      </c>
      <c r="V36" s="19">
        <v>168893408</v>
      </c>
      <c r="W36" s="19">
        <v>182626843</v>
      </c>
      <c r="X36" s="19">
        <v>186427670.68000001</v>
      </c>
      <c r="Y36" s="19">
        <v>196063889</v>
      </c>
      <c r="Z36" s="19">
        <v>188894769.69999999</v>
      </c>
      <c r="AA36" s="54">
        <v>192001797.96999997</v>
      </c>
      <c r="AB36" s="54">
        <v>199051351.02363545</v>
      </c>
    </row>
    <row r="37" spans="1:28" s="19" customFormat="1" ht="20.100000000000001" customHeight="1">
      <c r="A37" s="17"/>
      <c r="B37" s="17"/>
      <c r="C37" s="23" t="s">
        <v>75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AA37" s="54"/>
      <c r="AB37" s="54">
        <v>10436865</v>
      </c>
    </row>
    <row r="38" spans="1:28" s="19" customFormat="1" ht="20.100000000000001" customHeight="1">
      <c r="A38" s="17"/>
      <c r="B38" s="17"/>
      <c r="C38" s="23" t="s">
        <v>46</v>
      </c>
      <c r="D38" s="23">
        <f>21290086+634030</f>
        <v>21924116</v>
      </c>
      <c r="E38" s="23">
        <f>21200882+856427</f>
        <v>22057309</v>
      </c>
      <c r="F38" s="23">
        <f>956295+21272059</f>
        <v>22228354</v>
      </c>
      <c r="G38" s="23">
        <v>23901613</v>
      </c>
      <c r="H38" s="23">
        <v>19802579.460000001</v>
      </c>
      <c r="I38" s="23">
        <v>19097646.370000001</v>
      </c>
      <c r="J38" s="23">
        <v>19609759</v>
      </c>
      <c r="K38" s="23">
        <v>19455265.550000001</v>
      </c>
      <c r="L38" s="23">
        <v>21714920.420000002</v>
      </c>
      <c r="M38" s="23">
        <v>23233260.18</v>
      </c>
      <c r="N38" s="23">
        <v>22387234</v>
      </c>
      <c r="O38" s="23">
        <v>23190933</v>
      </c>
      <c r="P38" s="23">
        <v>23552709</v>
      </c>
      <c r="Q38" s="23">
        <v>24406912.41</v>
      </c>
      <c r="R38" s="23">
        <v>26900012</v>
      </c>
      <c r="S38" s="19">
        <v>27455974</v>
      </c>
      <c r="T38" s="19">
        <v>27479403</v>
      </c>
      <c r="U38" s="19">
        <v>27336436</v>
      </c>
      <c r="V38" s="19">
        <v>32816240</v>
      </c>
      <c r="W38" s="19">
        <v>31889415</v>
      </c>
      <c r="X38" s="19">
        <v>32231097.260000002</v>
      </c>
      <c r="Y38" s="19">
        <v>33425584</v>
      </c>
      <c r="Z38" s="19">
        <v>33453191.570000004</v>
      </c>
      <c r="AA38" s="54">
        <v>34961114.657000005</v>
      </c>
      <c r="AB38" s="54">
        <v>39070577.714555353</v>
      </c>
    </row>
    <row r="39" spans="1:28" s="19" customFormat="1" ht="20.100000000000001" customHeight="1">
      <c r="A39" s="17"/>
      <c r="B39" s="17"/>
      <c r="C39" s="23" t="s">
        <v>23</v>
      </c>
      <c r="D39" s="23">
        <f>68425577+20049205</f>
        <v>88474782</v>
      </c>
      <c r="E39" s="23">
        <f>69253153+19173147</f>
        <v>88426300</v>
      </c>
      <c r="F39" s="23">
        <f>74089377+20772737</f>
        <v>94862114</v>
      </c>
      <c r="G39" s="23">
        <v>89332780</v>
      </c>
      <c r="H39" s="23">
        <v>76177202.430000007</v>
      </c>
      <c r="I39" s="23">
        <v>73848592.090000004</v>
      </c>
      <c r="J39" s="23">
        <v>78657736.359999999</v>
      </c>
      <c r="K39" s="23">
        <f>82046097.33+89277.28</f>
        <v>82135374.609999999</v>
      </c>
      <c r="L39" s="23">
        <f>96809297.56+3246010.81</f>
        <v>100055308.37</v>
      </c>
      <c r="M39" s="23">
        <f>95914302.79+5110330.54</f>
        <v>101024633.33000001</v>
      </c>
      <c r="N39" s="23">
        <v>110677687</v>
      </c>
      <c r="O39" s="23">
        <v>111318591</v>
      </c>
      <c r="P39" s="23">
        <v>118917517</v>
      </c>
      <c r="Q39" s="23">
        <v>108786619</v>
      </c>
      <c r="R39" s="23">
        <v>121716973.39</v>
      </c>
      <c r="S39" s="19">
        <v>134304401.87</v>
      </c>
      <c r="T39" s="19">
        <v>145355389.25000003</v>
      </c>
      <c r="U39" s="19">
        <v>162826552</v>
      </c>
      <c r="V39" s="19">
        <v>172911307</v>
      </c>
      <c r="W39" s="19">
        <v>177762476</v>
      </c>
      <c r="X39" s="46">
        <v>182741475</v>
      </c>
      <c r="Y39" s="19">
        <v>194469690.30000001</v>
      </c>
      <c r="Z39" s="19">
        <v>201255413.02000001</v>
      </c>
      <c r="AA39" s="54">
        <v>223861870.42199999</v>
      </c>
      <c r="AB39" s="54">
        <v>237872565.07587647</v>
      </c>
    </row>
    <row r="40" spans="1:28" s="19" customFormat="1" ht="20.100000000000001" customHeight="1">
      <c r="A40" s="17"/>
      <c r="B40" s="17"/>
      <c r="C40" s="23" t="s">
        <v>24</v>
      </c>
      <c r="D40" s="23">
        <v>11999269</v>
      </c>
      <c r="E40" s="23">
        <v>12748991</v>
      </c>
      <c r="F40" s="23">
        <v>12000000</v>
      </c>
      <c r="G40" s="23">
        <v>12000000</v>
      </c>
      <c r="H40" s="23">
        <v>13191439.73</v>
      </c>
      <c r="I40" s="23">
        <v>10739030.279999999</v>
      </c>
      <c r="J40" s="23">
        <v>11115020.189999999</v>
      </c>
      <c r="K40" s="23">
        <v>11434823.619999999</v>
      </c>
      <c r="L40" s="23">
        <v>10496940.449999999</v>
      </c>
      <c r="M40" s="23">
        <v>10212363.279999999</v>
      </c>
      <c r="N40" s="23">
        <v>10239156</v>
      </c>
      <c r="O40" s="23">
        <v>13361808</v>
      </c>
      <c r="P40" s="23">
        <v>13281755</v>
      </c>
      <c r="Q40" s="23">
        <v>15411442</v>
      </c>
      <c r="R40" s="23">
        <v>14672240</v>
      </c>
      <c r="S40" s="19">
        <v>14191661.460000001</v>
      </c>
      <c r="T40" s="19">
        <v>15605916.779999999</v>
      </c>
      <c r="U40" s="19">
        <v>16231200</v>
      </c>
      <c r="V40" s="19">
        <v>14923435</v>
      </c>
      <c r="W40" s="19">
        <v>15485704</v>
      </c>
      <c r="X40" s="19">
        <v>15300404.780000001</v>
      </c>
      <c r="Y40" s="19">
        <v>16453325.890000001</v>
      </c>
      <c r="Z40" s="19">
        <v>17548437.25</v>
      </c>
      <c r="AA40" s="54">
        <v>15728735.719999999</v>
      </c>
      <c r="AB40" s="54">
        <v>16566513</v>
      </c>
    </row>
    <row r="41" spans="1:28" s="19" customFormat="1" ht="20.100000000000001" customHeight="1">
      <c r="A41" s="17"/>
      <c r="B41" s="17"/>
      <c r="C41" s="23" t="s">
        <v>25</v>
      </c>
      <c r="D41" s="23">
        <f>59817795+14659634.81+18337435.97</f>
        <v>92814865.780000001</v>
      </c>
      <c r="E41" s="23">
        <v>96782546</v>
      </c>
      <c r="F41" s="23">
        <v>106628421</v>
      </c>
      <c r="G41" s="23">
        <f>65774278+42602734</f>
        <v>108377012</v>
      </c>
      <c r="H41" s="23">
        <f>61188410.59+45079659</f>
        <v>106268069.59</v>
      </c>
      <c r="I41" s="23">
        <f>51110125.34+53934343.74</f>
        <v>105044469.08000001</v>
      </c>
      <c r="J41" s="23">
        <f>61162846.65+50653910.41</f>
        <v>111816757.06</v>
      </c>
      <c r="K41" s="23">
        <f>73090968.01+66378937.27</f>
        <v>139469905.28</v>
      </c>
      <c r="L41" s="23">
        <f>81563665.67+79292419.96</f>
        <v>160856085.63</v>
      </c>
      <c r="M41" s="23">
        <f>91258141.08+76720469.93</f>
        <v>167978611.00999999</v>
      </c>
      <c r="N41" s="23">
        <v>172540450</v>
      </c>
      <c r="O41" s="23">
        <v>185824276</v>
      </c>
      <c r="P41" s="23">
        <v>192605170</v>
      </c>
      <c r="Q41" s="23">
        <v>213691188.38999999</v>
      </c>
      <c r="R41" s="23">
        <v>216403861.40000001</v>
      </c>
      <c r="S41" s="19">
        <v>216249789.38</v>
      </c>
      <c r="T41" s="19">
        <v>223729830.69999999</v>
      </c>
      <c r="U41" s="19">
        <v>247434243</v>
      </c>
      <c r="V41" s="19">
        <v>273461652</v>
      </c>
      <c r="W41" s="19">
        <v>276928614</v>
      </c>
      <c r="X41" s="46">
        <v>297911134.94</v>
      </c>
      <c r="Y41" s="19">
        <v>318286890.53000003</v>
      </c>
      <c r="Z41" s="19">
        <v>347056161</v>
      </c>
      <c r="AA41" s="54">
        <v>387616249</v>
      </c>
      <c r="AB41" s="54">
        <v>384346300</v>
      </c>
    </row>
    <row r="42" spans="1:28" s="19" customFormat="1" ht="20.100000000000001" customHeight="1">
      <c r="A42" s="17"/>
      <c r="B42" s="17"/>
      <c r="C42" s="23" t="s">
        <v>26</v>
      </c>
      <c r="D42" s="23">
        <v>14027639</v>
      </c>
      <c r="E42" s="23">
        <v>14442698</v>
      </c>
      <c r="F42" s="23">
        <v>15520538</v>
      </c>
      <c r="G42" s="23">
        <v>15985342</v>
      </c>
      <c r="H42" s="23">
        <v>17146103.899999999</v>
      </c>
      <c r="I42" s="23">
        <f>17162996.73+950606.9</f>
        <v>18113603.629999999</v>
      </c>
      <c r="J42" s="23">
        <f>21106071.68+1043852.64</f>
        <v>22149924.32</v>
      </c>
      <c r="K42" s="23">
        <f>22684623.41+1128130.04</f>
        <v>23812753.449999999</v>
      </c>
      <c r="L42" s="23">
        <f>23730235.05+1036334.06</f>
        <v>24766569.109999999</v>
      </c>
      <c r="M42" s="23">
        <f>24313176.88+938297.76</f>
        <v>25251474.640000001</v>
      </c>
      <c r="N42" s="23">
        <v>28996629</v>
      </c>
      <c r="O42" s="23">
        <v>32131530</v>
      </c>
      <c r="P42" s="23">
        <v>35172502</v>
      </c>
      <c r="Q42" s="23">
        <v>38327588.600000001</v>
      </c>
      <c r="R42" s="23">
        <v>43985446.420000002</v>
      </c>
      <c r="S42" s="19">
        <v>49520599.680000007</v>
      </c>
      <c r="T42" s="19">
        <v>54572066.5</v>
      </c>
      <c r="U42" s="19">
        <v>60614114</v>
      </c>
      <c r="V42" s="19">
        <v>67737669</v>
      </c>
      <c r="W42" s="19">
        <v>91187370</v>
      </c>
      <c r="X42" s="46">
        <v>102351578.59</v>
      </c>
      <c r="Y42" s="19">
        <v>118198407.7</v>
      </c>
      <c r="Z42" s="19">
        <v>113015494.52</v>
      </c>
      <c r="AA42" s="54">
        <v>130304026.70100001</v>
      </c>
      <c r="AB42" s="54">
        <v>122116771.1416308</v>
      </c>
    </row>
    <row r="43" spans="1:28" s="19" customFormat="1" ht="20.100000000000001" customHeight="1">
      <c r="A43" s="17"/>
      <c r="B43" s="17"/>
      <c r="C43" s="23" t="s">
        <v>27</v>
      </c>
      <c r="D43" s="23">
        <f>1595244+1145453</f>
        <v>2740697</v>
      </c>
      <c r="E43" s="23">
        <f>1845691+2133274</f>
        <v>3978965</v>
      </c>
      <c r="F43" s="23">
        <v>3539713</v>
      </c>
      <c r="G43" s="23">
        <v>3525554</v>
      </c>
      <c r="H43" s="23">
        <f>1663757.43+1771800.44</f>
        <v>3435557.87</v>
      </c>
      <c r="I43" s="23">
        <f>1561081.96+1652914.64</f>
        <v>3213996.5999999996</v>
      </c>
      <c r="J43" s="23">
        <f>1751903.58+1527295.86</f>
        <v>3279199.4400000004</v>
      </c>
      <c r="K43" s="23">
        <f>1728494.88+1627134.91</f>
        <v>3355629.79</v>
      </c>
      <c r="L43" s="23">
        <f>1775654.59+1341812.45</f>
        <v>3117467.04</v>
      </c>
      <c r="M43" s="23">
        <f>1767295.08+1297419.52</f>
        <v>3064714.6</v>
      </c>
      <c r="N43" s="23">
        <v>1504828</v>
      </c>
      <c r="O43" s="23">
        <v>1544492</v>
      </c>
      <c r="P43" s="23">
        <v>1546016</v>
      </c>
      <c r="Q43" s="23">
        <v>1834522.26</v>
      </c>
      <c r="R43" s="23">
        <v>1801021.09</v>
      </c>
      <c r="S43" s="24">
        <v>1623856.61</v>
      </c>
      <c r="T43" s="24">
        <v>1728409.04</v>
      </c>
      <c r="U43" s="24">
        <v>1728946</v>
      </c>
      <c r="V43" s="24">
        <v>4368625</v>
      </c>
      <c r="W43" s="24">
        <v>4344587</v>
      </c>
      <c r="X43" s="46">
        <v>4636324.6399999997</v>
      </c>
      <c r="Y43" s="24">
        <v>5498809.4199999999</v>
      </c>
      <c r="Z43" s="24">
        <v>5860429.0800000001</v>
      </c>
      <c r="AA43" s="63">
        <v>5990000</v>
      </c>
      <c r="AB43" s="63">
        <v>5989999.8799999999</v>
      </c>
    </row>
    <row r="44" spans="1:28" s="19" customFormat="1" ht="20.100000000000001" customHeight="1">
      <c r="B44" s="16" t="s">
        <v>28</v>
      </c>
      <c r="C44" s="16"/>
      <c r="D44" s="25">
        <f t="shared" ref="D44:P44" si="7">SUM(D35:D43)</f>
        <v>553198339.77999997</v>
      </c>
      <c r="E44" s="25">
        <f t="shared" si="7"/>
        <v>570780153</v>
      </c>
      <c r="F44" s="25">
        <f t="shared" si="7"/>
        <v>593091196</v>
      </c>
      <c r="G44" s="25">
        <f t="shared" si="7"/>
        <v>621151791</v>
      </c>
      <c r="H44" s="25">
        <f t="shared" si="7"/>
        <v>561160865.61000001</v>
      </c>
      <c r="I44" s="25">
        <f t="shared" si="7"/>
        <v>549351852.46000004</v>
      </c>
      <c r="J44" s="25">
        <f t="shared" si="7"/>
        <v>572205957.18000019</v>
      </c>
      <c r="K44" s="25">
        <f t="shared" si="7"/>
        <v>618389022.88000011</v>
      </c>
      <c r="L44" s="25">
        <f t="shared" si="7"/>
        <v>694076253.40999997</v>
      </c>
      <c r="M44" s="25">
        <f t="shared" si="7"/>
        <v>710621267.64999998</v>
      </c>
      <c r="N44" s="25">
        <f t="shared" si="7"/>
        <v>736840166</v>
      </c>
      <c r="O44" s="25">
        <f t="shared" si="7"/>
        <v>772735364</v>
      </c>
      <c r="P44" s="25">
        <f t="shared" si="7"/>
        <v>800787491</v>
      </c>
      <c r="Q44" s="25">
        <f t="shared" ref="Q44:X44" si="8">SUM(Q35:Q43)</f>
        <v>836255437.59000015</v>
      </c>
      <c r="R44" s="25">
        <f t="shared" si="8"/>
        <v>888006075.67999995</v>
      </c>
      <c r="S44" s="25">
        <f t="shared" si="8"/>
        <v>937578085.35000002</v>
      </c>
      <c r="T44" s="25">
        <f t="shared" si="8"/>
        <v>980475099.93000007</v>
      </c>
      <c r="U44" s="25">
        <f t="shared" si="8"/>
        <v>1037720504</v>
      </c>
      <c r="V44" s="25">
        <f t="shared" si="8"/>
        <v>1137993920</v>
      </c>
      <c r="W44" s="25">
        <f t="shared" si="8"/>
        <v>1176964653.4000001</v>
      </c>
      <c r="X44" s="25">
        <f t="shared" si="8"/>
        <v>1219941341.79</v>
      </c>
      <c r="Y44" s="25">
        <f>SUM(Y35:Y43)</f>
        <v>1292576584.5700002</v>
      </c>
      <c r="Z44" s="25">
        <f>SUM(Z35:Z43)</f>
        <v>1329191082.9099998</v>
      </c>
      <c r="AA44" s="58">
        <f>SUM(AA35:AA43)</f>
        <v>1422728221.3239999</v>
      </c>
      <c r="AB44" s="58">
        <f>SUM(AB35:AB43)</f>
        <v>1508921410.1329768</v>
      </c>
    </row>
    <row r="45" spans="1:28" s="19" customFormat="1" ht="20.100000000000001" customHeight="1">
      <c r="B45" s="16"/>
      <c r="C45" s="1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AA45" s="54"/>
      <c r="AB45" s="54"/>
    </row>
    <row r="46" spans="1:28" s="19" customFormat="1" ht="20.100000000000001" customHeight="1">
      <c r="A46" s="26"/>
      <c r="B46" s="16" t="s">
        <v>29</v>
      </c>
      <c r="C46" s="16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AA46" s="54"/>
      <c r="AB46" s="54"/>
    </row>
    <row r="47" spans="1:28" s="19" customFormat="1" ht="20.100000000000001" customHeight="1">
      <c r="A47" s="17"/>
      <c r="B47" s="20"/>
      <c r="C47" s="23" t="s">
        <v>30</v>
      </c>
      <c r="D47" s="23">
        <f>4187837+100056318+20517359</f>
        <v>124761514</v>
      </c>
      <c r="E47" s="23">
        <f>18283382+4146204+114871354</f>
        <v>137300940</v>
      </c>
      <c r="F47" s="23">
        <f>12990800+3712491+114639175</f>
        <v>131342466</v>
      </c>
      <c r="G47" s="23">
        <v>129185074.64</v>
      </c>
      <c r="H47" s="23">
        <v>139986352.34999999</v>
      </c>
      <c r="I47" s="23">
        <f>148104002.77+13733952.39+2794204.56</f>
        <v>164632159.72000003</v>
      </c>
      <c r="J47" s="23">
        <f>159875769.49+2626931.98+12158464.82</f>
        <v>174661166.28999999</v>
      </c>
      <c r="K47" s="23">
        <f>11806969+2383445.85+173605424.47</f>
        <v>187795839.31999999</v>
      </c>
      <c r="L47" s="23">
        <f>11138428+2231194.44+181228785.99</f>
        <v>194598408.43000001</v>
      </c>
      <c r="M47" s="23">
        <f>188774332.17+1943367.5-3690386.2</f>
        <v>187027313.47</v>
      </c>
      <c r="N47" s="23">
        <v>164976429</v>
      </c>
      <c r="O47" s="23">
        <v>193845930</v>
      </c>
      <c r="P47" s="23">
        <v>216966041</v>
      </c>
      <c r="Q47" s="23">
        <v>204783747.98000002</v>
      </c>
      <c r="R47" s="23">
        <v>223291802</v>
      </c>
      <c r="S47" s="19">
        <v>205292656</v>
      </c>
      <c r="T47" s="19">
        <v>229571436</v>
      </c>
      <c r="U47" s="19">
        <v>234235624</v>
      </c>
      <c r="V47" s="19">
        <v>238051078.40000001</v>
      </c>
      <c r="W47" s="19">
        <v>259334054</v>
      </c>
      <c r="X47" s="47">
        <v>253590062.17999998</v>
      </c>
      <c r="Y47" s="19">
        <v>238971442</v>
      </c>
      <c r="Z47" s="19">
        <v>237986390.44</v>
      </c>
      <c r="AA47" s="54">
        <v>239787256</v>
      </c>
      <c r="AB47" s="54">
        <v>240945845</v>
      </c>
    </row>
    <row r="48" spans="1:28" s="19" customFormat="1" ht="20.100000000000001" customHeight="1">
      <c r="A48" s="17"/>
      <c r="B48" s="16"/>
      <c r="C48" s="23" t="s">
        <v>31</v>
      </c>
      <c r="D48" s="23">
        <f>3474259+39980758+50000</f>
        <v>43505017</v>
      </c>
      <c r="E48" s="23">
        <f>63444690+2610259</f>
        <v>66054949</v>
      </c>
      <c r="F48" s="23">
        <f>5675259+63267603+24963</f>
        <v>68967825</v>
      </c>
      <c r="G48" s="23">
        <f>77837394.34-22703832.96</f>
        <v>55133561.380000003</v>
      </c>
      <c r="H48" s="23">
        <f>83354901-22552234.23</f>
        <v>60802666.769999996</v>
      </c>
      <c r="I48" s="23">
        <f>76445476.89+2979000</f>
        <v>79424476.890000001</v>
      </c>
      <c r="J48" s="23">
        <f>85682917.27+2880750</f>
        <v>88563667.269999996</v>
      </c>
      <c r="K48" s="23">
        <f>2796499.97+95130555.72</f>
        <v>97927055.689999998</v>
      </c>
      <c r="L48" s="23">
        <f>2755749.99+98715786.41</f>
        <v>101471536.39999999</v>
      </c>
      <c r="M48" s="23">
        <v>104534948.78</v>
      </c>
      <c r="N48" s="23">
        <v>111645667</v>
      </c>
      <c r="O48" s="23">
        <v>131959750</v>
      </c>
      <c r="P48" s="23">
        <v>110349327</v>
      </c>
      <c r="Q48" s="23">
        <v>117798529.38000001</v>
      </c>
      <c r="R48" s="23">
        <v>95651923</v>
      </c>
      <c r="S48" s="19">
        <v>113104925</v>
      </c>
      <c r="T48" s="19">
        <v>112722401</v>
      </c>
      <c r="U48" s="19">
        <v>116476024</v>
      </c>
      <c r="V48" s="19">
        <v>84634312.400000006</v>
      </c>
      <c r="W48" s="19">
        <v>157325042</v>
      </c>
      <c r="X48" s="47">
        <v>126886948.20000002</v>
      </c>
      <c r="Y48" s="19">
        <v>113383407</v>
      </c>
      <c r="Z48" s="19">
        <v>196134046.50999999</v>
      </c>
      <c r="AA48" s="54">
        <v>198982899</v>
      </c>
      <c r="AB48" s="54">
        <v>178695803</v>
      </c>
    </row>
    <row r="49" spans="1:28" s="19" customFormat="1" ht="20.100000000000001" customHeight="1">
      <c r="A49" s="17"/>
      <c r="B49" s="16"/>
      <c r="C49" s="23" t="s">
        <v>32</v>
      </c>
      <c r="D49" s="23">
        <v>0</v>
      </c>
      <c r="E49" s="23">
        <v>0</v>
      </c>
      <c r="F49" s="23">
        <v>0</v>
      </c>
      <c r="G49" s="23">
        <v>22703832.960000001</v>
      </c>
      <c r="H49" s="23">
        <f>3958815+48+2799330.84+2570142.18+2846225.04+2714825.16+7662848.01</f>
        <v>22552234.229999997</v>
      </c>
      <c r="I49" s="23">
        <f>3958116.6+2771759.52+2570142.18+2765149.98+2776074.24-785285.83</f>
        <v>14055956.690000001</v>
      </c>
      <c r="J49" s="23">
        <v>16510094.699999999</v>
      </c>
      <c r="K49" s="23">
        <v>15379309.439999999</v>
      </c>
      <c r="L49" s="23">
        <v>14686838.300000001</v>
      </c>
      <c r="M49" s="23">
        <v>15265958.99</v>
      </c>
      <c r="N49" s="23">
        <v>14918033</v>
      </c>
      <c r="O49" s="23">
        <v>15261176</v>
      </c>
      <c r="P49" s="23">
        <v>15908155</v>
      </c>
      <c r="Q49" s="23">
        <v>16423707.800000001</v>
      </c>
      <c r="R49" s="23">
        <v>17577942</v>
      </c>
      <c r="S49" s="24">
        <v>18270012</v>
      </c>
      <c r="T49" s="24">
        <v>21110882</v>
      </c>
      <c r="U49" s="24">
        <v>18621977</v>
      </c>
      <c r="V49" s="24">
        <v>19093168</v>
      </c>
      <c r="W49" s="24">
        <v>17847580</v>
      </c>
      <c r="X49" s="48">
        <v>12751315.609999999</v>
      </c>
      <c r="Y49" s="24">
        <v>10251400</v>
      </c>
      <c r="Z49" s="24">
        <v>2379912.06</v>
      </c>
      <c r="AA49" s="63">
        <v>5057079</v>
      </c>
      <c r="AB49" s="63">
        <v>4296777</v>
      </c>
    </row>
    <row r="50" spans="1:28" s="19" customFormat="1" ht="20.100000000000001" customHeight="1">
      <c r="A50" s="26"/>
      <c r="B50" s="16" t="s">
        <v>33</v>
      </c>
      <c r="C50" s="16"/>
      <c r="D50" s="25">
        <f t="shared" ref="D50:P50" si="9">SUM(D47:D49)</f>
        <v>168266531</v>
      </c>
      <c r="E50" s="25">
        <f t="shared" si="9"/>
        <v>203355889</v>
      </c>
      <c r="F50" s="25">
        <f t="shared" si="9"/>
        <v>200310291</v>
      </c>
      <c r="G50" s="25">
        <f t="shared" si="9"/>
        <v>207022468.98000002</v>
      </c>
      <c r="H50" s="25">
        <f t="shared" si="9"/>
        <v>223341253.34999999</v>
      </c>
      <c r="I50" s="25">
        <f t="shared" si="9"/>
        <v>258112593.30000001</v>
      </c>
      <c r="J50" s="25">
        <f t="shared" si="9"/>
        <v>279734928.25999999</v>
      </c>
      <c r="K50" s="25">
        <f t="shared" si="9"/>
        <v>301102204.44999999</v>
      </c>
      <c r="L50" s="25">
        <f t="shared" si="9"/>
        <v>310756783.13</v>
      </c>
      <c r="M50" s="25">
        <f t="shared" si="9"/>
        <v>306828221.24000001</v>
      </c>
      <c r="N50" s="25">
        <f t="shared" si="9"/>
        <v>291540129</v>
      </c>
      <c r="O50" s="25">
        <f t="shared" si="9"/>
        <v>341066856</v>
      </c>
      <c r="P50" s="25">
        <f t="shared" si="9"/>
        <v>343223523</v>
      </c>
      <c r="Q50" s="25">
        <f t="shared" ref="Q50:W50" si="10">SUM(Q47:Q49)</f>
        <v>339005985.16000003</v>
      </c>
      <c r="R50" s="25">
        <f t="shared" si="10"/>
        <v>336521667</v>
      </c>
      <c r="S50" s="16">
        <f t="shared" si="10"/>
        <v>336667593</v>
      </c>
      <c r="T50" s="16">
        <f t="shared" si="10"/>
        <v>363404719</v>
      </c>
      <c r="U50" s="16">
        <f t="shared" si="10"/>
        <v>369333625</v>
      </c>
      <c r="V50" s="16">
        <f>SUM(V47:V49)-1</f>
        <v>341778557.80000001</v>
      </c>
      <c r="W50" s="16">
        <f t="shared" si="10"/>
        <v>434506676</v>
      </c>
      <c r="X50" s="16">
        <f>SUM(X47:X49)</f>
        <v>393228325.99000001</v>
      </c>
      <c r="Y50" s="16">
        <f>SUM(Y47:Y49)</f>
        <v>362606249</v>
      </c>
      <c r="Z50" s="16">
        <f>SUM(Z47:Z49)</f>
        <v>436500349.00999999</v>
      </c>
      <c r="AA50" s="64">
        <f>SUM(AA47:AA49)</f>
        <v>443827234</v>
      </c>
      <c r="AB50" s="64">
        <f>SUM(AB47:AB49)</f>
        <v>423938425</v>
      </c>
    </row>
    <row r="51" spans="1:28" s="19" customFormat="1" ht="20.100000000000001" customHeight="1">
      <c r="A51" s="26"/>
      <c r="B51" s="16"/>
      <c r="C51" s="1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AA51" s="54"/>
      <c r="AB51" s="54"/>
    </row>
    <row r="52" spans="1:28" s="19" customFormat="1" ht="20.100000000000001" customHeight="1">
      <c r="A52" s="26"/>
      <c r="B52" s="16" t="s">
        <v>34</v>
      </c>
      <c r="C52" s="16"/>
      <c r="D52" s="16">
        <f>+D44+D50</f>
        <v>721464870.77999997</v>
      </c>
      <c r="E52" s="16">
        <f>+E44+E50</f>
        <v>774136042</v>
      </c>
      <c r="F52" s="16">
        <f>+F44+F50</f>
        <v>793401487</v>
      </c>
      <c r="G52" s="16">
        <f>+G50+G44</f>
        <v>828174259.98000002</v>
      </c>
      <c r="H52" s="16">
        <f t="shared" ref="H52:P52" si="11">+H44+H50</f>
        <v>784502118.96000004</v>
      </c>
      <c r="I52" s="16">
        <f t="shared" si="11"/>
        <v>807464445.75999999</v>
      </c>
      <c r="J52" s="16">
        <f t="shared" si="11"/>
        <v>851940885.44000018</v>
      </c>
      <c r="K52" s="16">
        <f t="shared" si="11"/>
        <v>919491227.33000016</v>
      </c>
      <c r="L52" s="16">
        <f t="shared" si="11"/>
        <v>1004833036.54</v>
      </c>
      <c r="M52" s="16">
        <f t="shared" si="11"/>
        <v>1017449488.89</v>
      </c>
      <c r="N52" s="16">
        <f t="shared" si="11"/>
        <v>1028380295</v>
      </c>
      <c r="O52" s="16">
        <f t="shared" si="11"/>
        <v>1113802220</v>
      </c>
      <c r="P52" s="16">
        <f t="shared" si="11"/>
        <v>1144011014</v>
      </c>
      <c r="Q52" s="16">
        <f>+Q44+Q50</f>
        <v>1175261422.7500002</v>
      </c>
      <c r="R52" s="16">
        <f>+R44+R50</f>
        <v>1224527742.6799998</v>
      </c>
      <c r="S52" s="16">
        <f>+S44+S50</f>
        <v>1274245678.3499999</v>
      </c>
      <c r="T52" s="16">
        <f>+T44+T50</f>
        <v>1343879818.9300001</v>
      </c>
      <c r="U52" s="16">
        <f>+U44+U50</f>
        <v>1407054129</v>
      </c>
      <c r="V52" s="16">
        <f>+V44+V50+1</f>
        <v>1479772478.8</v>
      </c>
      <c r="W52" s="16">
        <f t="shared" ref="W52:AB52" si="12">+W44+W50</f>
        <v>1611471329.4000001</v>
      </c>
      <c r="X52" s="16">
        <f t="shared" si="12"/>
        <v>1613169667.78</v>
      </c>
      <c r="Y52" s="16">
        <f t="shared" si="12"/>
        <v>1655182833.5700002</v>
      </c>
      <c r="Z52" s="16">
        <f t="shared" si="12"/>
        <v>1765691431.9199998</v>
      </c>
      <c r="AA52" s="64">
        <f t="shared" si="12"/>
        <v>1866555455.3239999</v>
      </c>
      <c r="AB52" s="64">
        <f t="shared" si="12"/>
        <v>1932859835.1329768</v>
      </c>
    </row>
    <row r="53" spans="1:28" s="19" customFormat="1" ht="20.100000000000001" customHeight="1">
      <c r="A53" s="2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23"/>
      <c r="M53" s="23"/>
      <c r="N53" s="23"/>
      <c r="O53" s="23"/>
      <c r="P53" s="23"/>
      <c r="Q53" s="23"/>
      <c r="R53" s="23"/>
      <c r="AA53" s="54"/>
      <c r="AB53" s="54"/>
    </row>
    <row r="54" spans="1:28" s="19" customFormat="1" ht="20.100000000000001" customHeight="1">
      <c r="B54" s="16" t="s">
        <v>56</v>
      </c>
      <c r="C54" s="28"/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f t="shared" ref="N54:V54" si="13">+N31-N52</f>
        <v>53390613</v>
      </c>
      <c r="O54" s="16">
        <f t="shared" si="13"/>
        <v>29546689</v>
      </c>
      <c r="P54" s="16">
        <f t="shared" si="13"/>
        <v>9479422</v>
      </c>
      <c r="Q54" s="16">
        <f t="shared" si="13"/>
        <v>8902184.6399998665</v>
      </c>
      <c r="R54" s="16">
        <f t="shared" si="13"/>
        <v>1553270.1600000858</v>
      </c>
      <c r="S54" s="33">
        <f t="shared" si="13"/>
        <v>-7207345.1599998474</v>
      </c>
      <c r="T54" s="33">
        <f t="shared" si="13"/>
        <v>-4700399.9300000668</v>
      </c>
      <c r="U54" s="16">
        <f t="shared" si="13"/>
        <v>699789</v>
      </c>
      <c r="V54" s="33">
        <f t="shared" si="13"/>
        <v>-33307534.799999952</v>
      </c>
      <c r="W54" s="16">
        <f>+W31-W52</f>
        <v>1201065</v>
      </c>
      <c r="X54" s="16">
        <f>+X31-X52-0.5</f>
        <v>12807.870000123978</v>
      </c>
      <c r="Y54" s="16">
        <f>+Y31-Y52</f>
        <v>2162842.6250002384</v>
      </c>
      <c r="Z54" s="16">
        <f>+Z31-Z52</f>
        <v>28649266.801000118</v>
      </c>
      <c r="AA54" s="64">
        <f>+AA31-AA52</f>
        <v>-1.9999980926513672E-2</v>
      </c>
      <c r="AB54" s="64">
        <f>+AB31-AB52</f>
        <v>10232867.390336514</v>
      </c>
    </row>
    <row r="55" spans="1:28" s="19" customFormat="1" ht="9.9" customHeight="1">
      <c r="B55" s="28"/>
      <c r="C55" s="29"/>
      <c r="D55" s="23"/>
      <c r="E55" s="23"/>
      <c r="F55" s="23"/>
      <c r="G55" s="23"/>
      <c r="H55" s="23"/>
      <c r="I55" s="23"/>
      <c r="J55" s="23"/>
      <c r="K55" s="23"/>
      <c r="L55" s="16"/>
      <c r="M55" s="16"/>
      <c r="N55" s="16"/>
      <c r="O55" s="16"/>
      <c r="P55" s="16"/>
      <c r="Q55" s="16"/>
      <c r="R55" s="16"/>
      <c r="AA55" s="54"/>
      <c r="AB55" s="54"/>
    </row>
    <row r="56" spans="1:28" s="19" customFormat="1" ht="16.8">
      <c r="B56" s="16" t="s">
        <v>43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-13130183</v>
      </c>
      <c r="O56" s="16">
        <v>-1075047</v>
      </c>
      <c r="P56" s="16">
        <v>-5363232</v>
      </c>
      <c r="Q56" s="16">
        <v>-4770114</v>
      </c>
      <c r="R56" s="16">
        <v>-1553270</v>
      </c>
      <c r="S56" s="16">
        <v>7207345.4000000004</v>
      </c>
      <c r="T56" s="16">
        <v>4700400</v>
      </c>
      <c r="U56" s="16">
        <v>0</v>
      </c>
      <c r="V56" s="16">
        <f>15000000+1000000</f>
        <v>16000000</v>
      </c>
      <c r="W56" s="16">
        <v>0</v>
      </c>
      <c r="X56" s="16">
        <v>0</v>
      </c>
      <c r="Y56" s="16">
        <v>0</v>
      </c>
      <c r="Z56" s="16">
        <v>-26180775.5</v>
      </c>
      <c r="AA56" s="64">
        <v>0</v>
      </c>
      <c r="AB56" s="64">
        <v>0</v>
      </c>
    </row>
    <row r="57" spans="1:28" s="19" customFormat="1" ht="16.8">
      <c r="B57" s="16" t="s">
        <v>42</v>
      </c>
      <c r="C57" s="30"/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-36583800</v>
      </c>
      <c r="O57" s="16">
        <v>-24116436</v>
      </c>
      <c r="P57" s="16"/>
      <c r="Q57" s="16"/>
      <c r="R57" s="16"/>
      <c r="S57" s="16"/>
      <c r="T57" s="16"/>
      <c r="U57" s="16"/>
      <c r="V57" s="16">
        <v>17307535</v>
      </c>
      <c r="W57" s="16">
        <v>0</v>
      </c>
      <c r="X57" s="16">
        <v>0</v>
      </c>
      <c r="Y57" s="16">
        <v>-2162842.5</v>
      </c>
      <c r="Z57" s="16">
        <v>-2468491</v>
      </c>
      <c r="AA57" s="64">
        <v>0</v>
      </c>
      <c r="AB57" s="64">
        <v>0</v>
      </c>
    </row>
    <row r="58" spans="1:28" s="19" customFormat="1" ht="16.8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16"/>
      <c r="P58" s="16"/>
      <c r="Q58" s="16"/>
      <c r="R58" s="16"/>
      <c r="S58" s="24"/>
      <c r="T58" s="24"/>
      <c r="U58" s="24"/>
      <c r="AA58" s="54"/>
      <c r="AB58" s="54"/>
    </row>
    <row r="59" spans="1:28" s="19" customFormat="1" ht="17.399999999999999" thickBot="1">
      <c r="B59" s="31" t="s">
        <v>36</v>
      </c>
      <c r="C59" s="32"/>
      <c r="D59" s="31">
        <f t="shared" ref="D59:M59" si="14">+D54-D57</f>
        <v>0</v>
      </c>
      <c r="E59" s="31">
        <f t="shared" si="14"/>
        <v>0</v>
      </c>
      <c r="F59" s="31">
        <f t="shared" si="14"/>
        <v>0</v>
      </c>
      <c r="G59" s="31">
        <f t="shared" si="14"/>
        <v>0</v>
      </c>
      <c r="H59" s="31">
        <f t="shared" si="14"/>
        <v>0</v>
      </c>
      <c r="I59" s="31">
        <f t="shared" si="14"/>
        <v>0</v>
      </c>
      <c r="J59" s="31">
        <f t="shared" si="14"/>
        <v>0</v>
      </c>
      <c r="K59" s="31">
        <f t="shared" si="14"/>
        <v>0</v>
      </c>
      <c r="L59" s="31">
        <f t="shared" si="14"/>
        <v>0</v>
      </c>
      <c r="M59" s="31">
        <f t="shared" si="14"/>
        <v>0</v>
      </c>
      <c r="N59" s="31">
        <f t="shared" ref="N59:W59" si="15">SUM(N54:N58)</f>
        <v>3676630</v>
      </c>
      <c r="O59" s="31">
        <f t="shared" si="15"/>
        <v>4355206</v>
      </c>
      <c r="P59" s="31">
        <f t="shared" si="15"/>
        <v>4116190</v>
      </c>
      <c r="Q59" s="31">
        <f t="shared" si="15"/>
        <v>4132070.6399998665</v>
      </c>
      <c r="R59" s="31">
        <f>SUM(R54:R58)</f>
        <v>0.16000008583068848</v>
      </c>
      <c r="S59" s="31">
        <f t="shared" si="15"/>
        <v>0.24000015296041965</v>
      </c>
      <c r="T59" s="31">
        <f t="shared" si="15"/>
        <v>6.9999933242797852E-2</v>
      </c>
      <c r="U59" s="31">
        <f t="shared" si="15"/>
        <v>699789</v>
      </c>
      <c r="V59" s="31">
        <f t="shared" si="15"/>
        <v>0.20000004768371582</v>
      </c>
      <c r="W59" s="31">
        <f t="shared" si="15"/>
        <v>1201065</v>
      </c>
      <c r="X59" s="31">
        <f>SUM(X54:X58)</f>
        <v>12807.870000123978</v>
      </c>
      <c r="Y59" s="31">
        <f>SUM(Y54:Y58)</f>
        <v>0.1250002384185791</v>
      </c>
      <c r="Z59" s="31">
        <f>SUM(Z54:Z58)</f>
        <v>0.30100011825561523</v>
      </c>
      <c r="AA59" s="65">
        <f>SUM(AA54:AA58)</f>
        <v>-1.9999980926513672E-2</v>
      </c>
      <c r="AB59" s="65">
        <f>SUM(AB54:AB58)</f>
        <v>10232867.390336514</v>
      </c>
    </row>
    <row r="60" spans="1:28" s="19" customFormat="1" ht="17.399999999999999" thickTop="1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AA60" s="54"/>
      <c r="AB60" s="54"/>
    </row>
    <row r="61" spans="1:28" ht="15">
      <c r="P61" s="9"/>
      <c r="Q61" s="9"/>
      <c r="R61" s="9"/>
      <c r="S61" s="9"/>
      <c r="T61" s="9"/>
      <c r="U61" s="9"/>
    </row>
    <row r="62" spans="1:28" ht="15">
      <c r="P62" s="9"/>
      <c r="Q62" s="9"/>
      <c r="R62" s="9"/>
      <c r="S62" s="9"/>
      <c r="T62" s="9"/>
      <c r="U62" s="9"/>
    </row>
    <row r="63" spans="1:28" ht="15">
      <c r="P63" s="9"/>
      <c r="Q63" s="9"/>
      <c r="R63" s="9"/>
      <c r="S63" s="9"/>
      <c r="T63" s="9"/>
      <c r="U63" s="9"/>
    </row>
    <row r="64" spans="1:28">
      <c r="P64" s="9"/>
      <c r="Q64" s="9"/>
      <c r="R64" s="9"/>
    </row>
    <row r="65" spans="15:15" ht="21">
      <c r="O65" s="10"/>
    </row>
  </sheetData>
  <phoneticPr fontId="0" type="noConversion"/>
  <pageMargins left="0.25" right="0.2" top="0.28000000000000003" bottom="0.25" header="0.17" footer="0.26"/>
  <pageSetup scale="49" fitToWidth="2" orientation="landscape" r:id="rId1"/>
  <headerFooter alignWithMargins="0">
    <oddFooter>&amp;C&amp;D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sore</vt:lpstr>
      <vt:lpstr>sore!Print_Area</vt:lpstr>
      <vt:lpstr>sore!Print_Titles</vt:lpstr>
    </vt:vector>
  </TitlesOfParts>
  <Company>MBTA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Beatty</dc:creator>
  <cp:lastModifiedBy>rsao</cp:lastModifiedBy>
  <cp:lastPrinted>2013-08-17T17:29:44Z</cp:lastPrinted>
  <dcterms:created xsi:type="dcterms:W3CDTF">2001-05-04T17:31:40Z</dcterms:created>
  <dcterms:modified xsi:type="dcterms:W3CDTF">2014-06-26T13:42:19Z</dcterms:modified>
</cp:coreProperties>
</file>